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worksheets/sheet11.xml" ContentType="application/vnd.openxmlformats-officedocument.spreadsheetml.worksheet+xml"/>
  <Override PartName="/xl/drawings/drawing10.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0" yWindow="500" windowWidth="28800" windowHeight="16460" tabRatio="474" firstSheet="0" activeTab="0" autoFilterDateGrouping="1"/>
  </bookViews>
  <sheets>
    <sheet xmlns:r="http://schemas.openxmlformats.org/officeDocument/2006/relationships" name="Mode d'emploi" sheetId="1" state="visible" r:id="rId1"/>
    <sheet xmlns:r="http://schemas.openxmlformats.org/officeDocument/2006/relationships" name="Données du contrat" sheetId="2" state="visible" r:id="rId2"/>
    <sheet xmlns:r="http://schemas.openxmlformats.org/officeDocument/2006/relationships" name="Salaire du dernier mois " sheetId="3" state="visible" r:id="rId3"/>
    <sheet xmlns:r="http://schemas.openxmlformats.org/officeDocument/2006/relationships" name="Régularisation" sheetId="4" state="visible" r:id="rId4"/>
    <sheet xmlns:r="http://schemas.openxmlformats.org/officeDocument/2006/relationships" name="Congés payés" sheetId="5" state="visible" r:id="rId5"/>
    <sheet xmlns:r="http://schemas.openxmlformats.org/officeDocument/2006/relationships" name="Solde de tout compte" sheetId="6" state="visible" r:id="rId6"/>
    <sheet xmlns:r="http://schemas.openxmlformats.org/officeDocument/2006/relationships" name="France Travail" sheetId="7" state="visible" r:id="rId7"/>
    <sheet xmlns:r="http://schemas.openxmlformats.org/officeDocument/2006/relationships" name="Coût STC" sheetId="8" state="visible" r:id="rId8"/>
    <sheet xmlns:r="http://schemas.openxmlformats.org/officeDocument/2006/relationships" name="Brut-Net" sheetId="9" state="visible" r:id="rId9"/>
    <sheet xmlns:r="http://schemas.openxmlformats.org/officeDocument/2006/relationships" name="Calculs personnels" sheetId="10" state="visible" r:id="rId10"/>
    <sheet xmlns:r="http://schemas.openxmlformats.org/officeDocument/2006/relationships" name="Lisez-moi" sheetId="11" state="visible" r:id="rId11"/>
  </sheets>
  <definedNames>
    <definedName name="date_maj">'Mode d''emploi'!$L$12</definedName>
    <definedName name="l_age">'Coût STC'!$K$19:$K$20</definedName>
    <definedName name="l_année">'Brut-Net'!#REF!</definedName>
    <definedName name="l_avril">'Coût STC'!$L$2:$L$3</definedName>
    <definedName name="l_cause">'Solde de tout compte'!$P$6:$P$10</definedName>
    <definedName name="l_cp">'Congés payés'!$N$3:$N$7</definedName>
    <definedName name="l_cpp">'Congés payés'!$N$10:$N$11</definedName>
    <definedName name="l_jf">'Salaire du dernier mois '!$N$16:$N$17</definedName>
    <definedName name="l_nb_enfant">'Coût STC'!$L$7:$L$12</definedName>
    <definedName name="l_preavis">'Solde de tout compte'!$P$13:$P$15</definedName>
    <definedName name="l_region">'Données du contrat'!$N$14:$N$15</definedName>
    <definedName name="l_revenu">'Coût STC'!$M$14:$M$16</definedName>
    <definedName name="l_seul">'Coût STC'!$L$4:$L$5</definedName>
    <definedName name="motif">'Solde de tout compte'!$Q$5</definedName>
    <definedName name="taux_cotis">'Données du contrat'!$Q$7</definedName>
    <definedName name="_xlnm.Print_Area" localSheetId="5">'Solde de tout compte'!$A$1:$L$60</definedName>
  </definedNames>
  <calcPr calcId="191029" fullCalcOnLoad="1"/>
</workbook>
</file>

<file path=xl/styles.xml><?xml version="1.0" encoding="utf-8"?>
<styleSheet xmlns="http://schemas.openxmlformats.org/spreadsheetml/2006/main">
  <numFmts count="17">
    <numFmt numFmtId="164" formatCode="dd/mm/yy;@"/>
    <numFmt numFmtId="165" formatCode="#,##0.00\ &quot;€&quot;"/>
    <numFmt numFmtId="166" formatCode="#,##0.0000\ &quot;€&quot;"/>
    <numFmt numFmtId="167" formatCode="_-* #,##0.00,_€_-;\-* #,##0.00,_€_-;_-* \-??\ _€_-;_-@_-"/>
    <numFmt numFmtId="168" formatCode="0.0&quot; h&quot;"/>
    <numFmt numFmtId="169" formatCode="#,##0.00\ [$€-40C];\-#,##0.00\ [$€-40C]"/>
    <numFmt numFmtId="170" formatCode="dddd&quot;, &quot;mmmm\ dd&quot;, &quot;yyyy"/>
    <numFmt numFmtId="171" formatCode="#,##0.00_ ;\-#,##0.00\ "/>
    <numFmt numFmtId="172" formatCode="#,##0.00_ ;\-#,##0.00,"/>
    <numFmt numFmtId="173" formatCode="General&quot; h&quot;"/>
    <numFmt numFmtId="174" formatCode="_-* #,##0.00,\€_-;\-* #,##0.00,\€_-;_-* \-??&quot; €&quot;_-;_-@_-"/>
    <numFmt numFmtId="175" formatCode="#,##0.00,\€"/>
    <numFmt numFmtId="176" formatCode="[$-F800]dddd\,\ mmmm\ dd\,\ yyyy"/>
    <numFmt numFmtId="177" formatCode="0.0"/>
    <numFmt numFmtId="178" formatCode="_-* #,##0.00\ &quot;€&quot;_-;\-* #,##0.00\ &quot;€&quot;_-;_-* &quot;-&quot;??\ &quot;€&quot;_-;_-@_-"/>
    <numFmt numFmtId="179" formatCode="#,##0.00\ &quot;€&quot;;\-#,##0.00\ &quot;€&quot;"/>
    <numFmt numFmtId="180" formatCode="0.0%"/>
  </numFmts>
  <fonts count="43">
    <font>
      <name val="Calibri"/>
      <charset val="1"/>
      <family val="2"/>
      <color rgb="FF000000"/>
      <sz val="11"/>
    </font>
    <font>
      <name val="Calibri"/>
      <charset val="1"/>
      <family val="2"/>
      <b val="1"/>
      <color rgb="FF7030A0"/>
      <sz val="18"/>
    </font>
    <font>
      <name val="Calibri"/>
      <charset val="1"/>
      <family val="2"/>
      <b val="1"/>
      <color rgb="FF000080"/>
      <sz val="18"/>
    </font>
    <font>
      <name val="Calibri"/>
      <charset val="1"/>
      <family val="2"/>
      <color rgb="FFFFFFFF"/>
      <sz val="14"/>
    </font>
    <font>
      <name val="Calibri"/>
      <charset val="1"/>
      <family val="2"/>
      <sz val="11"/>
    </font>
    <font>
      <name val="Calibri"/>
      <charset val="1"/>
      <family val="2"/>
      <b val="1"/>
      <sz val="11"/>
    </font>
    <font>
      <name val="Verdana"/>
      <charset val="1"/>
      <family val="2"/>
      <color rgb="FF000000"/>
      <sz val="8"/>
    </font>
    <font>
      <name val="Calibri"/>
      <charset val="1"/>
      <family val="2"/>
      <b val="1"/>
      <sz val="12"/>
    </font>
    <font>
      <name val="Calibri"/>
      <charset val="1"/>
      <family val="2"/>
      <color rgb="FF7030A0"/>
      <sz val="8"/>
    </font>
    <font>
      <name val="Calibri"/>
      <charset val="1"/>
      <family val="2"/>
      <b val="1"/>
      <color rgb="FF7030A0"/>
      <sz val="14"/>
    </font>
    <font>
      <name val="Calibri"/>
      <charset val="1"/>
      <family val="2"/>
      <b val="1"/>
      <color rgb="FF7030A0"/>
      <sz val="11"/>
    </font>
    <font>
      <name val="Calibri"/>
      <charset val="1"/>
      <family val="2"/>
      <b val="1"/>
      <color rgb="FFFF0000"/>
      <sz val="11"/>
    </font>
    <font>
      <name val="Calibri"/>
      <charset val="1"/>
      <family val="2"/>
      <b val="1"/>
      <color rgb="FF1F497D"/>
      <sz val="16"/>
    </font>
    <font>
      <name val="Calibri"/>
      <charset val="1"/>
      <family val="2"/>
      <color rgb="FF0000FF"/>
      <sz val="11"/>
      <u val="single"/>
    </font>
    <font>
      <name val="Calibri"/>
      <charset val="1"/>
      <family val="2"/>
      <b val="1"/>
      <color rgb="FF000000"/>
      <sz val="11"/>
    </font>
    <font>
      <name val="Calibri"/>
      <charset val="1"/>
      <family val="2"/>
      <b val="1"/>
      <color rgb="FF00B050"/>
      <sz val="11"/>
    </font>
    <font>
      <name val="Calibri"/>
      <charset val="1"/>
      <family val="2"/>
      <color rgb="FFFF0000"/>
      <sz val="11"/>
    </font>
    <font>
      <name val="Calibri"/>
      <charset val="1"/>
      <family val="2"/>
      <color rgb="FF000000"/>
      <sz val="10"/>
    </font>
    <font>
      <name val="Verdana"/>
      <charset val="1"/>
      <family val="2"/>
      <color rgb="FFFF0000"/>
      <sz val="8"/>
    </font>
    <font>
      <name val="Calibri"/>
      <charset val="1"/>
      <family val="2"/>
      <color rgb="FF000000"/>
      <sz val="9"/>
    </font>
    <font>
      <name val="Calibri"/>
      <charset val="1"/>
      <family val="2"/>
      <b val="1"/>
      <color rgb="FF000000"/>
      <sz val="12"/>
    </font>
    <font>
      <name val="Calibri"/>
      <charset val="1"/>
      <family val="2"/>
      <b val="1"/>
      <color rgb="FF000000"/>
      <sz val="10"/>
    </font>
    <font>
      <name val="Calibri"/>
      <charset val="1"/>
      <family val="2"/>
      <sz val="12"/>
    </font>
    <font>
      <name val="Calibri"/>
      <charset val="1"/>
      <family val="2"/>
      <b val="1"/>
      <color rgb="FFFF0000"/>
      <sz val="12"/>
    </font>
    <font>
      <name val="Calibri"/>
      <charset val="1"/>
      <family val="2"/>
      <b val="1"/>
      <sz val="14"/>
    </font>
    <font>
      <name val="Calibri"/>
      <charset val="1"/>
      <family val="2"/>
      <b val="1"/>
      <color rgb="FF639D25"/>
      <sz val="18"/>
    </font>
    <font>
      <name val="Calibri"/>
      <charset val="1"/>
      <family val="2"/>
      <b val="1"/>
      <i val="1"/>
      <color rgb="FF558ED5"/>
      <sz val="11"/>
    </font>
    <font>
      <name val="Calibri"/>
      <charset val="1"/>
      <family val="2"/>
      <color rgb="FF558ED5"/>
      <sz val="11"/>
    </font>
    <font>
      <name val="Calibri"/>
      <charset val="1"/>
      <family val="2"/>
      <color rgb="FFFFFFFF"/>
      <sz val="11"/>
    </font>
    <font>
      <name val="Calibri"/>
      <charset val="1"/>
      <family val="2"/>
      <color rgb="FF000000"/>
      <sz val="11"/>
    </font>
    <font>
      <name val="Calibri"/>
      <family val="2"/>
      <b val="1"/>
      <color rgb="FF7030A0"/>
      <sz val="18"/>
    </font>
    <font>
      <name val="Calibri"/>
      <family val="2"/>
      <b val="1"/>
      <sz val="11"/>
    </font>
    <font>
      <name val="Calibri"/>
      <family val="2"/>
      <b val="1"/>
      <color rgb="FF000000"/>
      <sz val="11"/>
    </font>
    <font>
      <name val="Calibri"/>
      <family val="2"/>
      <color rgb="FF000000"/>
      <sz val="11"/>
    </font>
    <font>
      <name val="Calibri"/>
      <family val="2"/>
      <b val="1"/>
      <color rgb="FFFF0000"/>
      <sz val="12"/>
    </font>
    <font>
      <name val="Calibri"/>
      <family val="2"/>
      <color rgb="FFFF0000"/>
      <sz val="11"/>
    </font>
    <font>
      <name val="Calibri"/>
      <charset val="1"/>
      <family val="2"/>
      <color rgb="FF000000"/>
      <sz val="8"/>
    </font>
    <font>
      <name val="Calibri"/>
      <family val="2"/>
      <b val="1"/>
      <color rgb="FF7030A0"/>
      <sz val="12"/>
    </font>
    <font>
      <name val="Calibri"/>
      <family val="2"/>
      <b val="1"/>
      <color indexed="10"/>
      <sz val="11"/>
    </font>
    <font>
      <name val="Calibri"/>
      <family val="2"/>
      <sz val="11"/>
    </font>
    <font>
      <name val="Calibri"/>
      <family val="2"/>
      <color rgb="FFFF0000"/>
      <sz val="11"/>
      <scheme val="minor"/>
    </font>
    <font>
      <name val="Calibri"/>
      <charset val="1"/>
      <family val="2"/>
      <b val="1"/>
      <color rgb="FF7030A0"/>
      <sz val="16"/>
    </font>
    <font>
      <name val="Calibri"/>
      <charset val="1"/>
      <family val="2"/>
      <b val="1"/>
      <color theme="1"/>
      <sz val="11"/>
    </font>
  </fonts>
  <fills count="13">
    <fill>
      <patternFill/>
    </fill>
    <fill>
      <patternFill patternType="gray125"/>
    </fill>
    <fill>
      <patternFill patternType="solid">
        <fgColor rgb="FF7030A0"/>
        <bgColor rgb="FF993366"/>
      </patternFill>
    </fill>
    <fill>
      <patternFill patternType="solid">
        <fgColor rgb="FFF2F2F2"/>
        <bgColor rgb="FFFFFFFF"/>
      </patternFill>
    </fill>
    <fill>
      <patternFill patternType="solid">
        <fgColor rgb="FFCCCCFF"/>
        <bgColor rgb="FFD9D9D9"/>
      </patternFill>
    </fill>
    <fill>
      <patternFill patternType="solid">
        <fgColor rgb="FFBD9FC9"/>
        <bgColor rgb="FF808080"/>
      </patternFill>
    </fill>
    <fill>
      <patternFill patternType="solid">
        <fgColor rgb="FFE4D7E9"/>
        <bgColor rgb="FF9999FF"/>
      </patternFill>
    </fill>
    <fill>
      <patternFill patternType="solid">
        <fgColor theme="0" tint="-0.1499984740745262"/>
        <bgColor rgb="FFFFFFFF"/>
      </patternFill>
    </fill>
    <fill>
      <patternFill patternType="solid">
        <fgColor rgb="FFE4D7E9"/>
        <bgColor indexed="64"/>
      </patternFill>
    </fill>
    <fill>
      <patternFill patternType="solid">
        <fgColor rgb="FFBD9FC9"/>
        <bgColor rgb="FF9999FF"/>
      </patternFill>
    </fill>
    <fill>
      <patternFill patternType="solid">
        <fgColor theme="0" tint="-0.0499893185216834"/>
        <bgColor rgb="FF808080"/>
      </patternFill>
    </fill>
    <fill>
      <patternFill patternType="solid">
        <fgColor theme="0" tint="-0.1499984740745262"/>
        <bgColor indexed="64"/>
      </patternFill>
    </fill>
    <fill>
      <patternFill patternType="solid">
        <fgColor theme="0" tint="-0.0499893185216834"/>
        <bgColor indexed="64"/>
      </patternFill>
    </fill>
  </fills>
  <borders count="52">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auto="1"/>
      </left>
      <right/>
      <top style="medium">
        <color auto="1"/>
      </top>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rgb="FF7F7F7F"/>
      </top>
      <bottom style="thin">
        <color rgb="FF7F7F7F"/>
      </bottom>
      <diagonal/>
    </border>
    <border>
      <left/>
      <right/>
      <top/>
      <bottom style="thin">
        <color rgb="FF7F7F7F"/>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style="thin">
        <color auto="1"/>
      </right>
      <top style="hair">
        <color rgb="FFD9D9D9"/>
      </top>
      <bottom style="thin">
        <color auto="1"/>
      </bottom>
      <diagonal/>
    </border>
    <border>
      <left style="thin">
        <color rgb="FF808080"/>
      </left>
      <right style="thin">
        <color rgb="FF808080"/>
      </right>
      <top style="thin">
        <color rgb="FF808080"/>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style="medium">
        <color auto="1"/>
      </right>
      <top style="thin">
        <color auto="1"/>
      </top>
      <bottom/>
      <diagonal/>
    </border>
    <border>
      <left style="thin">
        <color auto="1"/>
      </left>
      <right style="medium">
        <color auto="1"/>
      </right>
      <top style="hair">
        <color rgb="FFD9D9D9"/>
      </top>
      <bottom style="thin">
        <color auto="1"/>
      </bottom>
      <diagonal/>
    </border>
    <border>
      <left style="thin">
        <color rgb="FF558ED5"/>
      </left>
      <right style="thin">
        <color rgb="FF558ED5"/>
      </right>
      <top/>
      <bottom style="thin">
        <color rgb="FF558ED5"/>
      </bottom>
      <diagonal/>
    </border>
    <border>
      <left style="thin">
        <color rgb="FF558ED5"/>
      </left>
      <right/>
      <top/>
      <bottom/>
      <diagonal/>
    </border>
    <border>
      <left/>
      <right/>
      <top style="thin">
        <color rgb="FF558ED5"/>
      </top>
      <bottom/>
      <diagonal/>
    </border>
    <border>
      <left style="medium">
        <color rgb="FF558ED5"/>
      </left>
      <right style="medium">
        <color rgb="FF558ED5"/>
      </right>
      <top/>
      <bottom style="medium">
        <color rgb="FF558ED5"/>
      </bottom>
      <diagonal/>
    </border>
    <border>
      <left style="medium">
        <color rgb="FF808080"/>
      </left>
      <right/>
      <top style="medium">
        <color rgb="FF808080"/>
      </top>
      <bottom/>
      <diagonal/>
    </border>
    <border>
      <left/>
      <right/>
      <top style="medium">
        <color rgb="FF808080"/>
      </top>
      <bottom/>
      <diagonal/>
    </border>
    <border>
      <left style="medium">
        <color rgb="FF808080"/>
      </left>
      <right/>
      <top/>
      <bottom/>
      <diagonal/>
    </border>
    <border>
      <left/>
      <right style="medium">
        <color rgb="FF808080"/>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rgb="FF808080"/>
      </top>
      <bottom/>
      <diagonal/>
    </border>
    <border>
      <left style="thin">
        <color rgb="FF7F7F7F"/>
      </left>
      <right style="thin">
        <color rgb="FF7F7F7F"/>
      </right>
      <top style="thin">
        <color theme="0" tint="-0.499984740745262"/>
      </top>
      <bottom style="thin">
        <color rgb="FF7F7F7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auto="1"/>
      </left>
      <right/>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rgb="FF808080"/>
      </right>
      <top style="thin">
        <color rgb="FF808080"/>
      </top>
      <bottom/>
      <diagonal/>
    </border>
  </borders>
  <cellStyleXfs count="5">
    <xf numFmtId="0" fontId="29" fillId="0" borderId="0"/>
    <xf numFmtId="167" fontId="29" fillId="0" borderId="0"/>
    <xf numFmtId="174" fontId="29" fillId="0" borderId="0"/>
    <xf numFmtId="9" fontId="29" fillId="0" borderId="0"/>
    <xf numFmtId="0" fontId="13" fillId="0" borderId="0"/>
  </cellStyleXfs>
  <cellXfs count="477">
    <xf numFmtId="0" fontId="0" fillId="0" borderId="0" pivotButton="0" quotePrefix="0" xfId="0"/>
    <xf numFmtId="0" fontId="0" fillId="2" borderId="0" pivotButton="0" quotePrefix="0" xfId="0"/>
    <xf numFmtId="0" fontId="2" fillId="0" borderId="0" pivotButton="0" quotePrefix="0" xfId="0"/>
    <xf numFmtId="0" fontId="2" fillId="2" borderId="0" pivotButton="0" quotePrefix="0" xfId="0"/>
    <xf numFmtId="0" fontId="3" fillId="2" borderId="0" pivotButton="0" quotePrefix="0" xfId="0"/>
    <xf numFmtId="14" fontId="0" fillId="0" borderId="0" pivotButton="0" quotePrefix="0" xfId="0"/>
    <xf numFmtId="0" fontId="6" fillId="0" borderId="0" pivotButton="0" quotePrefix="0" xfId="0"/>
    <xf numFmtId="0" fontId="5" fillId="3" borderId="0" pivotButton="0" quotePrefix="0" xfId="0"/>
    <xf numFmtId="0" fontId="5" fillId="3" borderId="0" applyAlignment="1" pivotButton="0" quotePrefix="0" xfId="0">
      <alignment wrapText="1"/>
    </xf>
    <xf numFmtId="0" fontId="5" fillId="3" borderId="0" applyAlignment="1" pivotButton="0" quotePrefix="0" xfId="0">
      <alignment horizontal="center" wrapText="1"/>
    </xf>
    <xf numFmtId="0" fontId="5" fillId="0" borderId="1" applyAlignment="1" pivotButton="0" quotePrefix="0" xfId="0">
      <alignment horizontal="center" wrapText="1"/>
    </xf>
    <xf numFmtId="0" fontId="4" fillId="3" borderId="0" applyAlignment="1" pivotButton="0" quotePrefix="0" xfId="0">
      <alignment horizontal="center" wrapText="1"/>
    </xf>
    <xf numFmtId="0" fontId="1" fillId="0" borderId="0" applyAlignment="1" pivotButton="0" quotePrefix="0" xfId="0">
      <alignment vertical="center"/>
    </xf>
    <xf numFmtId="0" fontId="0" fillId="0" borderId="3" pivotButton="0" quotePrefix="0" xfId="0"/>
    <xf numFmtId="0" fontId="0" fillId="0" borderId="4" pivotButton="0" quotePrefix="0" xfId="0"/>
    <xf numFmtId="0" fontId="0" fillId="0" borderId="5" pivotButton="0" quotePrefix="0" xfId="0"/>
    <xf numFmtId="0" fontId="10" fillId="0" borderId="0" applyAlignment="1" pivotButton="0" quotePrefix="0" xfId="0">
      <alignment horizontal="center"/>
    </xf>
    <xf numFmtId="0" fontId="0" fillId="0" borderId="6" pivotButton="0" quotePrefix="0" xfId="0"/>
    <xf numFmtId="0" fontId="0" fillId="0" borderId="7" pivotButton="0" quotePrefix="0" xfId="0"/>
    <xf numFmtId="0" fontId="11" fillId="0" borderId="0" pivotButton="0" quotePrefix="0" xfId="0"/>
    <xf numFmtId="0" fontId="12" fillId="2" borderId="0" applyAlignment="1" pivotButton="0" quotePrefix="0" xfId="0">
      <alignment horizontal="center" wrapText="1"/>
    </xf>
    <xf numFmtId="10" fontId="0" fillId="0" borderId="7" pivotButton="0" quotePrefix="0" xfId="0"/>
    <xf numFmtId="0" fontId="12" fillId="3" borderId="0" applyAlignment="1" pivotButton="0" quotePrefix="0" xfId="0">
      <alignment horizontal="center" wrapText="1"/>
    </xf>
    <xf numFmtId="0" fontId="0" fillId="0" borderId="9" pivotButton="0" quotePrefix="0" xfId="0"/>
    <xf numFmtId="10" fontId="0" fillId="0" borderId="10" pivotButton="0" quotePrefix="0" xfId="0"/>
    <xf numFmtId="10" fontId="0" fillId="0" borderId="11" pivotButton="0" quotePrefix="0" xfId="0"/>
    <xf numFmtId="0" fontId="13" fillId="3" borderId="0" applyAlignment="1" pivotButton="0" quotePrefix="0" xfId="4">
      <alignment horizontal="left"/>
    </xf>
    <xf numFmtId="0" fontId="0" fillId="0" borderId="13" applyAlignment="1" pivotButton="0" quotePrefix="0" xfId="0">
      <alignment horizontal="center"/>
    </xf>
    <xf numFmtId="0" fontId="14" fillId="0" borderId="0" applyAlignment="1" pivotButton="0" quotePrefix="0" xfId="0">
      <alignment horizontal="center"/>
    </xf>
    <xf numFmtId="0" fontId="14" fillId="0" borderId="6" pivotButton="0" quotePrefix="0" xfId="0"/>
    <xf numFmtId="0" fontId="0" fillId="0" borderId="11" pivotButton="0" quotePrefix="0" xfId="0"/>
    <xf numFmtId="9" fontId="0" fillId="0" borderId="0" applyAlignment="1" pivotButton="0" quotePrefix="0" xfId="3">
      <alignment horizontal="center"/>
    </xf>
    <xf numFmtId="0" fontId="0" fillId="0" borderId="0" applyAlignment="1" pivotButton="0" quotePrefix="0" xfId="0">
      <alignment wrapText="1"/>
    </xf>
    <xf numFmtId="0" fontId="13" fillId="0" borderId="0" pivotButton="0" quotePrefix="0" xfId="4"/>
    <xf numFmtId="0" fontId="0" fillId="0" borderId="0" applyAlignment="1" pivotButton="0" quotePrefix="0" xfId="0">
      <alignment horizontal="left"/>
    </xf>
    <xf numFmtId="0" fontId="0" fillId="2" borderId="0" applyAlignment="1" pivotButton="0" quotePrefix="0" xfId="0">
      <alignment horizontal="center"/>
    </xf>
    <xf numFmtId="0" fontId="15" fillId="0" borderId="0" applyAlignment="1" pivotButton="0" quotePrefix="0" xfId="0">
      <alignment horizontal="center"/>
    </xf>
    <xf numFmtId="0" fontId="0" fillId="0" borderId="13" pivotButton="0" quotePrefix="0" xfId="0"/>
    <xf numFmtId="14" fontId="0" fillId="0" borderId="5" pivotButton="0" quotePrefix="0" xfId="0"/>
    <xf numFmtId="14" fontId="0" fillId="0" borderId="7" pivotButton="0" quotePrefix="0" xfId="0"/>
    <xf numFmtId="0" fontId="15" fillId="0" borderId="0" pivotButton="0" quotePrefix="0" xfId="0"/>
    <xf numFmtId="0" fontId="14" fillId="0" borderId="7" applyAlignment="1" pivotButton="0" quotePrefix="0" xfId="0">
      <alignment horizontal="center"/>
    </xf>
    <xf numFmtId="0" fontId="0" fillId="0" borderId="7" applyAlignment="1" pivotButton="0" quotePrefix="0" xfId="0">
      <alignment horizontal="center"/>
    </xf>
    <xf numFmtId="0" fontId="15" fillId="0" borderId="7" applyAlignment="1" pivotButton="0" quotePrefix="0" xfId="0">
      <alignment horizontal="center"/>
    </xf>
    <xf numFmtId="0" fontId="0" fillId="2" borderId="0" applyAlignment="1" pivotButton="0" quotePrefix="0" xfId="0">
      <alignment vertical="center"/>
    </xf>
    <xf numFmtId="0" fontId="0" fillId="3" borderId="0" applyAlignment="1" pivotButton="0" quotePrefix="0" xfId="0">
      <alignment vertical="center"/>
    </xf>
    <xf numFmtId="0" fontId="0" fillId="0" borderId="9" applyAlignment="1" pivotButton="0" quotePrefix="0" xfId="0">
      <alignment vertical="center"/>
    </xf>
    <xf numFmtId="0" fontId="15" fillId="0" borderId="11" applyAlignment="1" pivotButton="0" quotePrefix="0" xfId="0">
      <alignment horizontal="center" vertical="center"/>
    </xf>
    <xf numFmtId="14" fontId="0" fillId="0" borderId="0" applyAlignment="1" pivotButton="0" quotePrefix="0" xfId="0">
      <alignment vertical="center"/>
    </xf>
    <xf numFmtId="0" fontId="15" fillId="0" borderId="0" applyAlignment="1" pivotButton="0" quotePrefix="0" xfId="0">
      <alignment horizontal="center" vertical="center"/>
    </xf>
    <xf numFmtId="0" fontId="15" fillId="0" borderId="0" applyAlignment="1" pivotButton="0" quotePrefix="0" xfId="0">
      <alignment vertical="center"/>
    </xf>
    <xf numFmtId="0" fontId="0" fillId="0" borderId="0" applyAlignment="1" pivotButton="0" quotePrefix="0" xfId="0">
      <alignment horizontal="right"/>
    </xf>
    <xf numFmtId="0" fontId="18" fillId="0" borderId="0" pivotButton="0" quotePrefix="0" xfId="0"/>
    <xf numFmtId="0" fontId="0" fillId="3" borderId="0" applyAlignment="1" pivotButton="0" quotePrefix="0" xfId="0">
      <alignment horizontal="center"/>
    </xf>
    <xf numFmtId="0" fontId="5" fillId="3" borderId="0" applyAlignment="1" pivotButton="0" quotePrefix="0" xfId="0">
      <alignment horizontal="center"/>
    </xf>
    <xf numFmtId="0" fontId="0" fillId="3" borderId="0" applyAlignment="1" pivotButton="0" quotePrefix="0" xfId="0">
      <alignment wrapText="1"/>
    </xf>
    <xf numFmtId="0" fontId="5" fillId="3" borderId="0" applyAlignment="1" pivotButton="0" quotePrefix="0" xfId="0">
      <alignment horizontal="center" vertical="center"/>
    </xf>
    <xf numFmtId="0" fontId="19" fillId="3" borderId="0" applyAlignment="1" pivotButton="0" quotePrefix="0" xfId="0">
      <alignment horizontal="center"/>
    </xf>
    <xf numFmtId="0" fontId="0" fillId="3" borderId="0" applyAlignment="1" pivotButton="0" quotePrefix="0" xfId="0">
      <alignment horizontal="left"/>
    </xf>
    <xf numFmtId="0" fontId="14" fillId="0" borderId="0" pivotButton="0" quotePrefix="0" xfId="0"/>
    <xf numFmtId="0" fontId="14" fillId="3" borderId="0" pivotButton="0" quotePrefix="0" xfId="0"/>
    <xf numFmtId="0" fontId="0" fillId="4" borderId="0" pivotButton="0" quotePrefix="0" xfId="0"/>
    <xf numFmtId="0" fontId="14" fillId="4" borderId="0" applyAlignment="1" pivotButton="0" quotePrefix="0" xfId="0">
      <alignment horizontal="center"/>
    </xf>
    <xf numFmtId="14" fontId="0" fillId="0" borderId="2" applyAlignment="1" pivotButton="0" quotePrefix="0" xfId="1">
      <alignment horizontal="center"/>
    </xf>
    <xf numFmtId="14" fontId="0" fillId="0" borderId="8" applyAlignment="1" pivotButton="0" quotePrefix="0" xfId="1">
      <alignment horizontal="center"/>
    </xf>
    <xf numFmtId="14" fontId="0" fillId="0" borderId="21" applyAlignment="1" pivotButton="0" quotePrefix="0" xfId="1">
      <alignment horizontal="center"/>
    </xf>
    <xf numFmtId="0" fontId="12" fillId="3" borderId="0" applyAlignment="1" pivotButton="0" quotePrefix="0" xfId="0">
      <alignment wrapText="1"/>
    </xf>
    <xf numFmtId="14" fontId="0" fillId="0" borderId="0" applyAlignment="1" pivotButton="0" quotePrefix="0" xfId="1">
      <alignment horizontal="center"/>
    </xf>
    <xf numFmtId="0" fontId="16" fillId="0" borderId="0" pivotButton="0" quotePrefix="0" xfId="0"/>
    <xf numFmtId="0" fontId="19" fillId="3" borderId="0" pivotButton="0" quotePrefix="0" xfId="0"/>
    <xf numFmtId="0" fontId="0" fillId="0" borderId="0" applyAlignment="1" pivotButton="0" quotePrefix="0" xfId="0">
      <alignment horizontal="left" vertical="top" wrapText="1"/>
    </xf>
    <xf numFmtId="0" fontId="0" fillId="0" borderId="7" applyProtection="1" pivotButton="0" quotePrefix="0" xfId="0">
      <protection locked="0" hidden="0"/>
    </xf>
    <xf numFmtId="0" fontId="0" fillId="0" borderId="8" applyAlignment="1" pivotButton="0" quotePrefix="0" xfId="0">
      <alignment wrapText="1"/>
    </xf>
    <xf numFmtId="0" fontId="0" fillId="0" borderId="10" pivotButton="0" quotePrefix="0" xfId="0"/>
    <xf numFmtId="0" fontId="12" fillId="0" borderId="0" applyAlignment="1" pivotButton="0" quotePrefix="0" xfId="0">
      <alignment horizontal="center" vertical="center" wrapText="1"/>
    </xf>
    <xf numFmtId="0" fontId="13" fillId="0" borderId="0" applyAlignment="1" applyProtection="1" pivotButton="0" quotePrefix="0" xfId="4">
      <alignment horizontal="left"/>
      <protection locked="0" hidden="0"/>
    </xf>
    <xf numFmtId="0" fontId="12" fillId="0" borderId="0" applyAlignment="1" pivotButton="0" quotePrefix="0" xfId="0">
      <alignment horizontal="center" wrapText="1"/>
    </xf>
    <xf numFmtId="2" fontId="0" fillId="0" borderId="7" pivotButton="0" quotePrefix="0" xfId="1"/>
    <xf numFmtId="0" fontId="0" fillId="4" borderId="0" applyAlignment="1" pivotButton="0" quotePrefix="0" xfId="0">
      <alignment horizontal="left"/>
    </xf>
    <xf numFmtId="0" fontId="14" fillId="4" borderId="0" applyAlignment="1" pivotButton="0" quotePrefix="0" xfId="0">
      <alignment horizontal="right"/>
    </xf>
    <xf numFmtId="0" fontId="14" fillId="4" borderId="0" pivotButton="0" quotePrefix="0" xfId="0"/>
    <xf numFmtId="0" fontId="0" fillId="0" borderId="4" applyAlignment="1" pivotButton="0" quotePrefix="0" xfId="0">
      <alignment horizontal="center"/>
    </xf>
    <xf numFmtId="0" fontId="5" fillId="3" borderId="0" applyAlignment="1" pivotButton="0" quotePrefix="0" xfId="0">
      <alignment horizontal="left"/>
    </xf>
    <xf numFmtId="0" fontId="4" fillId="3" borderId="0" pivotButton="0" quotePrefix="0" xfId="0"/>
    <xf numFmtId="0" fontId="5" fillId="3" borderId="0" applyAlignment="1" pivotButton="0" quotePrefix="0" xfId="0">
      <alignment horizontal="right"/>
    </xf>
    <xf numFmtId="0" fontId="0" fillId="0" borderId="9" applyAlignment="1" pivotButton="0" quotePrefix="0" xfId="0">
      <alignment horizontal="left" indent="7"/>
    </xf>
    <xf numFmtId="10" fontId="0" fillId="0" borderId="0" pivotButton="0" quotePrefix="0" xfId="0"/>
    <xf numFmtId="0" fontId="11" fillId="0" borderId="0" applyAlignment="1" pivotButton="0" quotePrefix="0" xfId="0">
      <alignment horizontal="center"/>
    </xf>
    <xf numFmtId="0" fontId="11" fillId="3" borderId="0" applyAlignment="1" pivotButton="0" quotePrefix="0" xfId="0">
      <alignment horizontal="center"/>
    </xf>
    <xf numFmtId="2" fontId="0" fillId="0" borderId="0" pivotButton="0" quotePrefix="0" xfId="0"/>
    <xf numFmtId="0" fontId="25" fillId="0" borderId="0" applyAlignment="1" pivotButton="0" quotePrefix="0" xfId="0">
      <alignment horizontal="center" vertical="center"/>
    </xf>
    <xf numFmtId="0" fontId="13" fillId="0" borderId="8" applyAlignment="1" pivotButton="0" quotePrefix="0" xfId="4">
      <alignment wrapText="1"/>
    </xf>
    <xf numFmtId="0" fontId="27" fillId="3" borderId="27" pivotButton="0" quotePrefix="0" xfId="0"/>
    <xf numFmtId="0" fontId="4" fillId="0" borderId="0" pivotButton="0" quotePrefix="0" xfId="0"/>
    <xf numFmtId="0" fontId="12" fillId="0" borderId="0" applyAlignment="1" pivotButton="0" quotePrefix="0" xfId="0">
      <alignment wrapText="1"/>
    </xf>
    <xf numFmtId="0" fontId="5" fillId="0" borderId="0" applyAlignment="1" pivotButton="0" quotePrefix="0" xfId="0">
      <alignment horizontal="center"/>
    </xf>
    <xf numFmtId="0" fontId="0" fillId="0" borderId="31" pivotButton="0" quotePrefix="0" xfId="0"/>
    <xf numFmtId="0" fontId="0" fillId="0" borderId="32" pivotButton="0" quotePrefix="0" xfId="0"/>
    <xf numFmtId="0" fontId="0" fillId="0" borderId="33" pivotButton="0" quotePrefix="0" xfId="0"/>
    <xf numFmtId="0" fontId="0" fillId="0" borderId="34" pivotButton="0" quotePrefix="0" xfId="0"/>
    <xf numFmtId="0" fontId="14" fillId="0" borderId="3" pivotButton="0" quotePrefix="0" xfId="0"/>
    <xf numFmtId="3" fontId="0" fillId="0" borderId="4" pivotButton="0" quotePrefix="0" xfId="0"/>
    <xf numFmtId="3" fontId="0" fillId="0" borderId="0" pivotButton="0" quotePrefix="0" xfId="0"/>
    <xf numFmtId="0" fontId="0" fillId="0" borderId="0" applyProtection="1" pivotButton="0" quotePrefix="0" xfId="0">
      <protection locked="1" hidden="1"/>
    </xf>
    <xf numFmtId="3" fontId="14" fillId="0" borderId="0" pivotButton="0" quotePrefix="0" xfId="0"/>
    <xf numFmtId="0" fontId="11" fillId="0" borderId="0" applyProtection="1" pivotButton="0" quotePrefix="0" xfId="0">
      <protection locked="1" hidden="1"/>
    </xf>
    <xf numFmtId="0" fontId="11" fillId="0" borderId="10" applyAlignment="1" pivotButton="0" quotePrefix="0" xfId="0">
      <alignment horizontal="center"/>
    </xf>
    <xf numFmtId="0" fontId="0" fillId="0" borderId="35" pivotButton="0" quotePrefix="0" xfId="0"/>
    <xf numFmtId="0" fontId="0" fillId="0" borderId="36" pivotButton="0" quotePrefix="0" xfId="0"/>
    <xf numFmtId="0" fontId="0" fillId="0" borderId="37" pivotButton="0" quotePrefix="0" xfId="0"/>
    <xf numFmtId="0" fontId="28" fillId="2" borderId="0" pivotButton="0" quotePrefix="0" xfId="0"/>
    <xf numFmtId="39" fontId="4" fillId="3" borderId="27" pivotButton="0" quotePrefix="0" xfId="1"/>
    <xf numFmtId="39" fontId="4" fillId="3" borderId="28" pivotButton="0" quotePrefix="0" xfId="1"/>
    <xf numFmtId="39" fontId="5" fillId="3" borderId="30" pivotButton="0" quotePrefix="0" xfId="1"/>
    <xf numFmtId="10" fontId="16" fillId="0" borderId="10" pivotButton="0" quotePrefix="0" xfId="0"/>
    <xf numFmtId="0" fontId="0" fillId="0" borderId="0" pivotButton="0" quotePrefix="1" xfId="0"/>
    <xf numFmtId="0" fontId="4" fillId="0" borderId="0" pivotButton="0" quotePrefix="0" xfId="1"/>
    <xf numFmtId="0" fontId="0" fillId="5" borderId="0" pivotButton="0" quotePrefix="0" xfId="0"/>
    <xf numFmtId="0" fontId="0" fillId="5" borderId="0" applyAlignment="1" pivotButton="0" quotePrefix="0" xfId="0">
      <alignment horizontal="left"/>
    </xf>
    <xf numFmtId="0" fontId="0" fillId="5" borderId="0" applyAlignment="1" pivotButton="0" quotePrefix="0" xfId="0">
      <alignment horizontal="center"/>
    </xf>
    <xf numFmtId="0" fontId="14" fillId="5" borderId="0" pivotButton="0" quotePrefix="0" xfId="0"/>
    <xf numFmtId="14" fontId="0" fillId="5" borderId="0" applyAlignment="1" pivotButton="0" quotePrefix="0" xfId="0">
      <alignment horizontal="center"/>
    </xf>
    <xf numFmtId="14" fontId="0" fillId="0" borderId="40" applyAlignment="1" applyProtection="1" pivotButton="0" quotePrefix="0" xfId="1">
      <alignment horizontal="center"/>
      <protection locked="0" hidden="0"/>
    </xf>
    <xf numFmtId="1" fontId="4" fillId="0" borderId="40" applyAlignment="1" applyProtection="1" pivotButton="0" quotePrefix="0" xfId="0">
      <alignment horizontal="center"/>
      <protection locked="0" hidden="0"/>
    </xf>
    <xf numFmtId="0" fontId="20" fillId="5" borderId="0" pivotButton="0" quotePrefix="0" xfId="0"/>
    <xf numFmtId="0" fontId="0" fillId="5" borderId="0" applyAlignment="1" pivotButton="0" quotePrefix="0" xfId="0">
      <alignment wrapText="1"/>
    </xf>
    <xf numFmtId="0" fontId="0" fillId="5" borderId="0" applyAlignment="1" pivotButton="0" quotePrefix="0" xfId="0">
      <alignment vertical="top" wrapText="1"/>
    </xf>
    <xf numFmtId="0" fontId="0" fillId="5" borderId="0" applyAlignment="1" pivotButton="0" quotePrefix="0" xfId="0">
      <alignment horizontal="left" wrapText="1"/>
    </xf>
    <xf numFmtId="0" fontId="14" fillId="5" borderId="0" applyAlignment="1" pivotButton="0" quotePrefix="0" xfId="0">
      <alignment horizontal="left"/>
    </xf>
    <xf numFmtId="0" fontId="0" fillId="0" borderId="1" applyAlignment="1" applyProtection="1" pivotButton="0" quotePrefix="0" xfId="1">
      <alignment horizontal="center"/>
      <protection locked="0" hidden="0"/>
    </xf>
    <xf numFmtId="2" fontId="0" fillId="6" borderId="1" applyAlignment="1" applyProtection="1" pivotButton="0" quotePrefix="0" xfId="1">
      <alignment horizontal="center"/>
      <protection locked="0" hidden="0"/>
    </xf>
    <xf numFmtId="0" fontId="11" fillId="5" borderId="0" pivotButton="0" quotePrefix="0" xfId="0"/>
    <xf numFmtId="2" fontId="0" fillId="0" borderId="1" applyAlignment="1" applyProtection="1" pivotButton="0" quotePrefix="0" xfId="1">
      <alignment horizontal="center"/>
      <protection locked="0" hidden="0"/>
    </xf>
    <xf numFmtId="1" fontId="0" fillId="0" borderId="1" applyAlignment="1" applyProtection="1" pivotButton="0" quotePrefix="0" xfId="1">
      <alignment horizontal="center"/>
      <protection locked="0" hidden="0"/>
    </xf>
    <xf numFmtId="9" fontId="0" fillId="0" borderId="15" applyAlignment="1" applyProtection="1" pivotButton="0" quotePrefix="0" xfId="3">
      <alignment horizontal="center"/>
      <protection locked="0" hidden="0"/>
    </xf>
    <xf numFmtId="0" fontId="5" fillId="6" borderId="1" applyAlignment="1" pivotButton="0" quotePrefix="0" xfId="0">
      <alignment horizontal="center" wrapText="1"/>
    </xf>
    <xf numFmtId="0" fontId="4" fillId="5" borderId="0" pivotButton="0" quotePrefix="0" xfId="0"/>
    <xf numFmtId="0" fontId="5" fillId="5" borderId="0" pivotButton="0" quotePrefix="0" xfId="0"/>
    <xf numFmtId="0" fontId="34" fillId="5" borderId="0" applyAlignment="1" pivotButton="0" quotePrefix="0" xfId="0">
      <alignment horizontal="center"/>
    </xf>
    <xf numFmtId="0" fontId="35" fillId="0" borderId="0" applyAlignment="1" pivotButton="0" quotePrefix="0" xfId="4">
      <alignment vertical="top" wrapText="1"/>
    </xf>
    <xf numFmtId="0" fontId="0" fillId="0" borderId="7" pivotButton="0" quotePrefix="0" xfId="1"/>
    <xf numFmtId="0" fontId="16" fillId="0" borderId="0" pivotButton="0" quotePrefix="0" xfId="4"/>
    <xf numFmtId="0" fontId="35" fillId="0" borderId="0" pivotButton="0" quotePrefix="0" xfId="0"/>
    <xf numFmtId="0" fontId="32" fillId="5" borderId="0" pivotButton="0" quotePrefix="0" xfId="0"/>
    <xf numFmtId="0" fontId="17" fillId="5" borderId="0" applyAlignment="1" pivotButton="0" quotePrefix="0" xfId="0">
      <alignment horizontal="center"/>
    </xf>
    <xf numFmtId="0" fontId="31" fillId="5" borderId="0" pivotButton="0" quotePrefix="0" xfId="0"/>
    <xf numFmtId="0" fontId="32" fillId="0" borderId="0" pivotButton="0" quotePrefix="0" xfId="0"/>
    <xf numFmtId="1" fontId="33" fillId="6" borderId="40" applyAlignment="1" applyProtection="1" pivotButton="0" quotePrefix="0" xfId="1">
      <alignment horizontal="center"/>
      <protection locked="0" hidden="0"/>
    </xf>
    <xf numFmtId="0" fontId="37" fillId="0" borderId="2" pivotButton="0" quotePrefix="0" xfId="0"/>
    <xf numFmtId="0" fontId="10" fillId="0" borderId="0" applyAlignment="1" pivotButton="0" quotePrefix="0" xfId="0">
      <alignment horizontal="right"/>
    </xf>
    <xf numFmtId="0" fontId="33" fillId="3" borderId="0" applyAlignment="1" pivotButton="0" quotePrefix="0" xfId="0">
      <alignment horizontal="right"/>
    </xf>
    <xf numFmtId="16" fontId="0" fillId="0" borderId="0" pivotButton="0" quotePrefix="0" xfId="0"/>
    <xf numFmtId="2" fontId="0" fillId="0" borderId="0" pivotButton="0" quotePrefix="0" xfId="1"/>
    <xf numFmtId="2" fontId="0" fillId="0" borderId="0" applyAlignment="1" pivotButton="0" quotePrefix="0" xfId="1">
      <alignment vertical="center"/>
    </xf>
    <xf numFmtId="10" fontId="16" fillId="0" borderId="5" pivotButton="0" quotePrefix="0" xfId="0"/>
    <xf numFmtId="0" fontId="16" fillId="0" borderId="7" pivotButton="0" quotePrefix="0" xfId="0"/>
    <xf numFmtId="0" fontId="16" fillId="0" borderId="10" pivotButton="0" quotePrefix="0" xfId="0"/>
    <xf numFmtId="0" fontId="16" fillId="0" borderId="11" pivotButton="0" quotePrefix="0" xfId="0"/>
    <xf numFmtId="3" fontId="16" fillId="0" borderId="0" pivotButton="0" quotePrefix="0" xfId="0"/>
    <xf numFmtId="0" fontId="33" fillId="3" borderId="0" applyAlignment="1" pivotButton="0" quotePrefix="0" xfId="0">
      <alignment horizontal="center"/>
    </xf>
    <xf numFmtId="0" fontId="0" fillId="10" borderId="0" pivotButton="0" quotePrefix="0" xfId="0"/>
    <xf numFmtId="0" fontId="0" fillId="10" borderId="0" applyAlignment="1" pivotButton="0" quotePrefix="0" xfId="0">
      <alignment vertical="top" wrapText="1"/>
    </xf>
    <xf numFmtId="0" fontId="0" fillId="2" borderId="0" applyAlignment="1" pivotButton="0" quotePrefix="0" xfId="0">
      <alignment horizontal="center" vertical="center"/>
    </xf>
    <xf numFmtId="0" fontId="0" fillId="0" borderId="23" applyAlignment="1" pivotButton="0" quotePrefix="0" xfId="0">
      <alignment vertical="center"/>
    </xf>
    <xf numFmtId="0" fontId="10" fillId="0" borderId="0" applyAlignment="1" pivotButton="0" quotePrefix="0" xfId="0">
      <alignment horizontal="left" vertical="center"/>
    </xf>
    <xf numFmtId="0" fontId="0" fillId="0" borderId="24" applyAlignment="1" pivotButton="0" quotePrefix="0" xfId="0">
      <alignment vertical="center"/>
    </xf>
    <xf numFmtId="0" fontId="10" fillId="0" borderId="8" applyAlignment="1" pivotButton="0" quotePrefix="0" xfId="0">
      <alignment vertical="center" wrapText="1"/>
    </xf>
    <xf numFmtId="0" fontId="0" fillId="0" borderId="24" applyAlignment="1" applyProtection="1" pivotButton="0" quotePrefix="0" xfId="0">
      <alignment vertical="center"/>
      <protection locked="0" hidden="0"/>
    </xf>
    <xf numFmtId="0" fontId="0" fillId="0" borderId="13" applyAlignment="1" pivotButton="0" quotePrefix="0" xfId="0">
      <alignment vertical="center"/>
    </xf>
    <xf numFmtId="0" fontId="0" fillId="0" borderId="5" applyAlignment="1" applyProtection="1" pivotButton="0" quotePrefix="0" xfId="0">
      <alignment vertical="center"/>
      <protection locked="0" hidden="0"/>
    </xf>
    <xf numFmtId="0" fontId="0" fillId="0" borderId="6" applyAlignment="1" pivotButton="0" quotePrefix="0" xfId="0">
      <alignment vertical="center"/>
    </xf>
    <xf numFmtId="0" fontId="0" fillId="0" borderId="7" applyAlignment="1" pivotButton="0" quotePrefix="0" xfId="0">
      <alignment vertical="center"/>
    </xf>
    <xf numFmtId="0" fontId="0" fillId="5" borderId="0" applyAlignment="1" pivotButton="0" quotePrefix="0" xfId="0">
      <alignment vertical="center"/>
    </xf>
    <xf numFmtId="0" fontId="0" fillId="5" borderId="0" applyAlignment="1" pivotButton="0" quotePrefix="0" xfId="0">
      <alignment horizontal="center" vertical="center"/>
    </xf>
    <xf numFmtId="0" fontId="13" fillId="0" borderId="0" applyAlignment="1" pivotButton="0" quotePrefix="0" xfId="4">
      <alignment vertical="center"/>
    </xf>
    <xf numFmtId="0" fontId="11" fillId="5" borderId="0" applyAlignment="1" pivotButton="0" quotePrefix="0" xfId="0">
      <alignment horizontal="center" vertical="center"/>
    </xf>
    <xf numFmtId="0" fontId="0" fillId="5" borderId="0" applyAlignment="1" pivotButton="0" quotePrefix="0" xfId="0">
      <alignment horizontal="left" vertical="center"/>
    </xf>
    <xf numFmtId="0" fontId="0" fillId="0" borderId="11" applyAlignment="1" pivotButton="0" quotePrefix="0" xfId="0">
      <alignment vertical="center"/>
    </xf>
    <xf numFmtId="10" fontId="0" fillId="0" borderId="0" applyAlignment="1" pivotButton="0" quotePrefix="0" xfId="0">
      <alignment vertical="center"/>
    </xf>
    <xf numFmtId="0" fontId="11" fillId="0" borderId="0" applyAlignment="1" pivotButton="0" quotePrefix="0" xfId="0">
      <alignment horizontal="center" vertical="center"/>
    </xf>
    <xf numFmtId="0" fontId="14" fillId="0" borderId="13" applyAlignment="1" pivotButton="0" quotePrefix="0" xfId="0">
      <alignment vertical="center"/>
    </xf>
    <xf numFmtId="0" fontId="0" fillId="0" borderId="5" applyAlignment="1" pivotButton="0" quotePrefix="0" xfId="0">
      <alignment vertical="center"/>
    </xf>
    <xf numFmtId="0" fontId="0" fillId="4" borderId="6" applyAlignment="1" pivotButton="0" quotePrefix="0" xfId="0">
      <alignment vertical="center"/>
    </xf>
    <xf numFmtId="14" fontId="0" fillId="0" borderId="25" applyAlignment="1" pivotButton="0" quotePrefix="0" xfId="1">
      <alignment horizontal="center" vertical="center"/>
    </xf>
    <xf numFmtId="0" fontId="14" fillId="0" borderId="0" applyAlignment="1" pivotButton="0" quotePrefix="0" xfId="0">
      <alignment horizontal="center" vertical="center"/>
    </xf>
    <xf numFmtId="0" fontId="11" fillId="3" borderId="0" applyAlignment="1" pivotButton="0" quotePrefix="0" xfId="0">
      <alignment vertical="center"/>
    </xf>
    <xf numFmtId="0" fontId="11" fillId="3" borderId="0" applyAlignment="1" pivotButton="0" quotePrefix="0" xfId="0">
      <alignment horizontal="center" vertical="center"/>
    </xf>
    <xf numFmtId="14" fontId="0" fillId="0" borderId="26" applyAlignment="1" pivotButton="0" quotePrefix="0" xfId="1">
      <alignment horizontal="center" vertical="center"/>
    </xf>
    <xf numFmtId="0" fontId="11" fillId="0" borderId="0" applyAlignment="1" pivotButton="0" quotePrefix="0" xfId="0">
      <alignment vertical="center"/>
    </xf>
    <xf numFmtId="2" fontId="0" fillId="0" borderId="5" applyAlignment="1" pivotButton="0" quotePrefix="0" xfId="0">
      <alignment vertical="center"/>
    </xf>
    <xf numFmtId="0" fontId="16" fillId="0" borderId="0" applyAlignment="1" pivotButton="0" quotePrefix="0" xfId="0">
      <alignment horizontal="right" vertical="center"/>
    </xf>
    <xf numFmtId="0" fontId="16" fillId="0" borderId="0" applyAlignment="1" pivotButton="0" quotePrefix="0" xfId="0">
      <alignment vertical="center"/>
    </xf>
    <xf numFmtId="0" fontId="14" fillId="0" borderId="0" applyAlignment="1" pivotButton="0" quotePrefix="0" xfId="0">
      <alignment horizontal="right" vertical="center"/>
    </xf>
    <xf numFmtId="0" fontId="4" fillId="0" borderId="0" applyAlignment="1" pivotButton="0" quotePrefix="0" xfId="4">
      <alignment vertical="center" wrapText="1"/>
    </xf>
    <xf numFmtId="2" fontId="0" fillId="0" borderId="0" applyAlignment="1" pivotButton="0" quotePrefix="0" xfId="0">
      <alignment vertical="center"/>
    </xf>
    <xf numFmtId="0" fontId="13" fillId="0" borderId="0" applyAlignment="1" pivotButton="0" quotePrefix="0" xfId="4">
      <alignment vertical="center" wrapText="1"/>
    </xf>
    <xf numFmtId="0" fontId="0" fillId="0" borderId="0" applyAlignment="1" pivotButton="0" quotePrefix="0" xfId="0">
      <alignment vertical="center" wrapText="1"/>
    </xf>
    <xf numFmtId="0" fontId="4" fillId="3" borderId="0" applyAlignment="1" pivotButton="0" quotePrefix="0" xfId="0">
      <alignment vertical="center"/>
    </xf>
    <xf numFmtId="0" fontId="22" fillId="3" borderId="0" applyAlignment="1" pivotButton="0" quotePrefix="0" xfId="0">
      <alignment vertical="center"/>
    </xf>
    <xf numFmtId="0" fontId="23" fillId="3" borderId="0" applyAlignment="1" pivotButton="0" quotePrefix="0" xfId="0">
      <alignment vertical="center"/>
    </xf>
    <xf numFmtId="0" fontId="24" fillId="3" borderId="0" applyAlignment="1" pivotButton="0" quotePrefix="0" xfId="0">
      <alignment horizontal="right" vertical="center"/>
    </xf>
    <xf numFmtId="10" fontId="40" fillId="0" borderId="5" applyAlignment="1" pivotButton="0" quotePrefix="0" xfId="0">
      <alignment vertical="center"/>
    </xf>
    <xf numFmtId="0" fontId="11" fillId="7" borderId="0" applyAlignment="1" pivotButton="0" quotePrefix="0" xfId="0">
      <alignment vertical="center"/>
    </xf>
    <xf numFmtId="0" fontId="5" fillId="7" borderId="0" applyAlignment="1" pivotButton="0" quotePrefix="0" xfId="0">
      <alignment vertical="center"/>
    </xf>
    <xf numFmtId="0" fontId="11" fillId="7" borderId="0" applyAlignment="1" pivotButton="0" quotePrefix="0" xfId="0">
      <alignment horizontal="center" vertical="center"/>
    </xf>
    <xf numFmtId="10" fontId="40" fillId="0" borderId="7" applyAlignment="1" pivotButton="0" quotePrefix="0" xfId="0">
      <alignment vertical="center"/>
    </xf>
    <xf numFmtId="0" fontId="40" fillId="0" borderId="11" applyAlignment="1" pivotButton="0" quotePrefix="0" xfId="0">
      <alignment vertical="center"/>
    </xf>
    <xf numFmtId="0" fontId="4" fillId="7" borderId="0" applyAlignment="1" pivotButton="0" quotePrefix="0" xfId="0">
      <alignment vertical="center"/>
    </xf>
    <xf numFmtId="0" fontId="38" fillId="11" borderId="0" applyAlignment="1" pivotButton="0" quotePrefix="0" xfId="0">
      <alignment vertical="center"/>
    </xf>
    <xf numFmtId="0" fontId="4" fillId="0" borderId="0" applyAlignment="1" pivotButton="0" quotePrefix="0" xfId="0">
      <alignment vertical="center"/>
    </xf>
    <xf numFmtId="9" fontId="0" fillId="0" borderId="43" applyAlignment="1" applyProtection="1" pivotButton="0" quotePrefix="0" xfId="3">
      <alignment horizontal="center"/>
      <protection locked="0" hidden="0"/>
    </xf>
    <xf numFmtId="9" fontId="0" fillId="0" borderId="0" pivotButton="0" quotePrefix="0" xfId="0"/>
    <xf numFmtId="0" fontId="23" fillId="5" borderId="0" applyAlignment="1" pivotButton="0" quotePrefix="0" xfId="0">
      <alignment horizontal="center" vertical="top"/>
    </xf>
    <xf numFmtId="0" fontId="0" fillId="0" borderId="44" applyAlignment="1" pivotButton="0" quotePrefix="0" xfId="0">
      <alignment vertical="center"/>
    </xf>
    <xf numFmtId="0" fontId="27" fillId="3" borderId="0" pivotButton="0" quotePrefix="0" xfId="0"/>
    <xf numFmtId="0" fontId="26" fillId="3" borderId="0" pivotButton="0" quotePrefix="0" xfId="0"/>
    <xf numFmtId="0" fontId="11" fillId="3" borderId="0" pivotButton="0" quotePrefix="0" xfId="0"/>
    <xf numFmtId="10" fontId="16" fillId="0" borderId="7" pivotButton="0" quotePrefix="0" xfId="0"/>
    <xf numFmtId="10" fontId="16" fillId="0" borderId="11" pivotButton="0" quotePrefix="0" xfId="0"/>
    <xf numFmtId="0" fontId="42" fillId="0" borderId="0" pivotButton="0" quotePrefix="0" xfId="0"/>
    <xf numFmtId="164" fontId="0" fillId="0" borderId="0" pivotButton="0" quotePrefix="0" xfId="0"/>
    <xf numFmtId="165" fontId="16" fillId="0" borderId="0" pivotButton="0" quotePrefix="0" xfId="2"/>
    <xf numFmtId="165" fontId="16" fillId="0" borderId="0" pivotButton="0" quotePrefix="0" xfId="0"/>
    <xf numFmtId="165" fontId="0" fillId="0" borderId="14" applyAlignment="1" applyProtection="1" pivotButton="0" quotePrefix="0" xfId="2">
      <alignment horizontal="center"/>
      <protection locked="0" hidden="0"/>
    </xf>
    <xf numFmtId="165" fontId="0" fillId="6" borderId="1" applyAlignment="1" applyProtection="1" pivotButton="0" quotePrefix="0" xfId="2">
      <alignment horizontal="center"/>
      <protection locked="0" hidden="0"/>
    </xf>
    <xf numFmtId="165" fontId="0" fillId="0" borderId="16" applyAlignment="1" applyProtection="1" pivotButton="0" quotePrefix="0" xfId="3">
      <alignment horizontal="center"/>
      <protection locked="0" hidden="0"/>
    </xf>
    <xf numFmtId="165" fontId="0" fillId="0" borderId="16" applyAlignment="1" applyProtection="1" pivotButton="0" quotePrefix="0" xfId="1">
      <alignment horizontal="center"/>
      <protection locked="0" hidden="0"/>
    </xf>
    <xf numFmtId="165" fontId="0" fillId="3" borderId="2" applyAlignment="1" pivotButton="0" quotePrefix="0" xfId="2">
      <alignment horizontal="center"/>
    </xf>
    <xf numFmtId="165" fontId="0" fillId="3" borderId="19" applyAlignment="1" pivotButton="0" quotePrefix="0" xfId="0">
      <alignment horizontal="center" wrapText="1"/>
    </xf>
    <xf numFmtId="165" fontId="0" fillId="3" borderId="8" applyAlignment="1" pivotButton="0" quotePrefix="0" xfId="2">
      <alignment horizontal="center"/>
    </xf>
    <xf numFmtId="165" fontId="32" fillId="3" borderId="8" applyAlignment="1" pivotButton="0" quotePrefix="0" xfId="2">
      <alignment horizontal="center"/>
    </xf>
    <xf numFmtId="165" fontId="32" fillId="3" borderId="20" applyAlignment="1" pivotButton="0" quotePrefix="0" xfId="2">
      <alignment horizontal="center"/>
    </xf>
    <xf numFmtId="165" fontId="0" fillId="3" borderId="8" applyAlignment="1" pivotButton="0" quotePrefix="0" xfId="0">
      <alignment horizontal="center" wrapText="1"/>
    </xf>
    <xf numFmtId="165" fontId="0" fillId="3" borderId="19" applyAlignment="1" pivotButton="0" quotePrefix="0" xfId="2">
      <alignment horizontal="center"/>
    </xf>
    <xf numFmtId="165" fontId="0" fillId="3" borderId="20" applyAlignment="1" pivotButton="0" quotePrefix="0" xfId="0">
      <alignment horizontal="center"/>
    </xf>
    <xf numFmtId="165" fontId="0" fillId="3" borderId="8" applyAlignment="1" pivotButton="0" quotePrefix="0" xfId="0">
      <alignment horizontal="center"/>
    </xf>
    <xf numFmtId="165" fontId="32" fillId="3" borderId="18" applyAlignment="1" pivotButton="0" quotePrefix="0" xfId="2">
      <alignment horizontal="center"/>
    </xf>
    <xf numFmtId="165" fontId="14" fillId="3" borderId="18" applyAlignment="1" pivotButton="0" quotePrefix="0" xfId="2">
      <alignment horizontal="center"/>
    </xf>
    <xf numFmtId="165" fontId="29" fillId="0" borderId="7" pivotButton="0" quotePrefix="0" xfId="2"/>
    <xf numFmtId="165" fontId="14" fillId="3" borderId="0" applyAlignment="1" pivotButton="0" quotePrefix="0" xfId="2">
      <alignment horizontal="center"/>
    </xf>
    <xf numFmtId="165" fontId="14" fillId="6" borderId="1" applyAlignment="1" applyProtection="1" pivotButton="0" quotePrefix="0" xfId="2">
      <alignment horizontal="center"/>
      <protection locked="0" hidden="0"/>
    </xf>
    <xf numFmtId="165" fontId="0" fillId="3" borderId="0" applyAlignment="1" pivotButton="0" quotePrefix="0" xfId="0">
      <alignment horizontal="center"/>
    </xf>
    <xf numFmtId="165" fontId="0" fillId="3" borderId="0" applyAlignment="1" pivotButton="0" quotePrefix="0" xfId="0">
      <alignment horizontal="center" wrapText="1"/>
    </xf>
    <xf numFmtId="165" fontId="14" fillId="3" borderId="0" applyAlignment="1" pivotButton="0" quotePrefix="0" xfId="0">
      <alignment horizontal="center" wrapText="1"/>
    </xf>
    <xf numFmtId="165" fontId="0" fillId="5" borderId="0" applyAlignment="1" pivotButton="0" quotePrefix="0" xfId="0">
      <alignment horizontal="center"/>
    </xf>
    <xf numFmtId="165" fontId="0" fillId="0" borderId="16" applyAlignment="1" applyProtection="1" pivotButton="0" quotePrefix="0" xfId="0">
      <alignment horizontal="center"/>
      <protection locked="0" hidden="0"/>
    </xf>
    <xf numFmtId="165" fontId="0" fillId="0" borderId="11" pivotButton="0" quotePrefix="0" xfId="2"/>
    <xf numFmtId="165" fontId="0" fillId="0" borderId="0" applyAlignment="1" pivotButton="0" quotePrefix="0" xfId="2">
      <alignment horizontal="center"/>
    </xf>
    <xf numFmtId="165" fontId="0" fillId="0" borderId="1" applyAlignment="1" applyProtection="1" pivotButton="0" quotePrefix="0" xfId="0">
      <alignment horizontal="center"/>
      <protection locked="0" hidden="0"/>
    </xf>
    <xf numFmtId="165" fontId="5" fillId="3" borderId="2" applyAlignment="1" pivotButton="0" quotePrefix="0" xfId="0">
      <alignment horizontal="center"/>
    </xf>
    <xf numFmtId="165" fontId="11" fillId="3" borderId="8" applyAlignment="1" pivotButton="0" quotePrefix="0" xfId="0">
      <alignment horizontal="center"/>
    </xf>
    <xf numFmtId="165" fontId="11" fillId="3" borderId="8" pivotButton="0" quotePrefix="0" xfId="0"/>
    <xf numFmtId="165" fontId="4" fillId="3" borderId="8" applyAlignment="1" pivotButton="0" quotePrefix="0" xfId="0">
      <alignment horizontal="center"/>
    </xf>
    <xf numFmtId="165" fontId="0" fillId="0" borderId="7" pivotButton="0" quotePrefix="0" xfId="2"/>
    <xf numFmtId="165" fontId="31" fillId="3" borderId="8" applyAlignment="1" pivotButton="0" quotePrefix="0" xfId="0">
      <alignment horizontal="center"/>
    </xf>
    <xf numFmtId="165" fontId="5" fillId="3" borderId="12" applyAlignment="1" pivotButton="0" quotePrefix="0" xfId="0">
      <alignment horizontal="center"/>
    </xf>
    <xf numFmtId="165" fontId="4" fillId="3" borderId="0" applyAlignment="1" pivotButton="0" quotePrefix="0" xfId="0">
      <alignment horizontal="right" vertical="center"/>
    </xf>
    <xf numFmtId="165" fontId="4" fillId="6" borderId="1" applyAlignment="1" applyProtection="1" pivotButton="0" quotePrefix="0" xfId="0">
      <alignment horizontal="right" vertical="center"/>
      <protection locked="0" hidden="0"/>
    </xf>
    <xf numFmtId="165" fontId="4" fillId="3" borderId="0" applyAlignment="1" pivotButton="0" quotePrefix="0" xfId="0">
      <alignment horizontal="center" vertical="center"/>
    </xf>
    <xf numFmtId="165" fontId="4" fillId="0" borderId="1" applyAlignment="1" applyProtection="1" pivotButton="0" quotePrefix="0" xfId="2">
      <alignment horizontal="right" vertical="center"/>
      <protection locked="0" hidden="0"/>
    </xf>
    <xf numFmtId="165" fontId="4" fillId="3" borderId="0" applyAlignment="1" pivotButton="0" quotePrefix="0" xfId="0">
      <alignment vertical="center"/>
    </xf>
    <xf numFmtId="165" fontId="5" fillId="3" borderId="0" applyAlignment="1" pivotButton="0" quotePrefix="0" xfId="0">
      <alignment horizontal="right" vertical="center"/>
    </xf>
    <xf numFmtId="165" fontId="0" fillId="0" borderId="0" applyAlignment="1" pivotButton="0" quotePrefix="0" xfId="0">
      <alignment vertical="center"/>
    </xf>
    <xf numFmtId="165" fontId="5" fillId="3" borderId="0" applyAlignment="1" pivotButton="0" quotePrefix="0" xfId="0">
      <alignment vertical="center"/>
    </xf>
    <xf numFmtId="165" fontId="5" fillId="7" borderId="0" applyAlignment="1" pivotButton="0" quotePrefix="0" xfId="0">
      <alignment vertical="center"/>
    </xf>
    <xf numFmtId="165" fontId="0" fillId="0" borderId="7" applyAlignment="1" pivotButton="0" quotePrefix="0" xfId="0">
      <alignment vertical="center"/>
    </xf>
    <xf numFmtId="165" fontId="0" fillId="0" borderId="5" applyAlignment="1" pivotButton="0" quotePrefix="0" xfId="0">
      <alignment vertical="center"/>
    </xf>
    <xf numFmtId="165" fontId="0" fillId="3" borderId="0" applyAlignment="1" pivotButton="0" quotePrefix="0" xfId="2">
      <alignment horizontal="center"/>
    </xf>
    <xf numFmtId="165" fontId="5" fillId="3" borderId="0" applyAlignment="1" pivotButton="0" quotePrefix="0" xfId="2">
      <alignment horizontal="center"/>
    </xf>
    <xf numFmtId="165" fontId="0" fillId="8" borderId="1" applyAlignment="1" applyProtection="1" pivotButton="0" quotePrefix="0" xfId="0">
      <alignment horizontal="center"/>
      <protection locked="0" hidden="0"/>
    </xf>
    <xf numFmtId="166" fontId="16" fillId="0" borderId="7" pivotButton="0" quotePrefix="0" xfId="0"/>
    <xf numFmtId="167" fontId="0" fillId="0" borderId="0" pivotButton="0" quotePrefix="0" xfId="0"/>
    <xf numFmtId="168" fontId="0" fillId="6" borderId="1" applyAlignment="1" applyProtection="1" pivotButton="0" quotePrefix="0" xfId="2">
      <alignment horizontal="center"/>
      <protection locked="0" hidden="0"/>
    </xf>
    <xf numFmtId="169" fontId="4" fillId="5" borderId="0" applyAlignment="1" pivotButton="0" quotePrefix="0" xfId="2">
      <alignment horizontal="center"/>
    </xf>
    <xf numFmtId="167" fontId="0" fillId="0" borderId="0" applyAlignment="1" pivotButton="0" quotePrefix="0" xfId="1">
      <alignment horizontal="center"/>
    </xf>
    <xf numFmtId="170" fontId="0" fillId="0" borderId="0" applyAlignment="1" pivotButton="0" quotePrefix="0" xfId="0">
      <alignment vertical="center"/>
    </xf>
    <xf numFmtId="170" fontId="16" fillId="0" borderId="0" applyAlignment="1" pivotButton="0" quotePrefix="0" xfId="0">
      <alignment vertical="center"/>
    </xf>
    <xf numFmtId="171" fontId="0" fillId="0" borderId="16" applyAlignment="1" applyProtection="1" pivotButton="0" quotePrefix="0" xfId="1">
      <alignment horizontal="center"/>
      <protection locked="0" hidden="0"/>
    </xf>
    <xf numFmtId="170" fontId="16" fillId="0" borderId="0" pivotButton="0" quotePrefix="0" xfId="0"/>
    <xf numFmtId="167" fontId="0" fillId="0" borderId="0" applyAlignment="1" pivotButton="0" quotePrefix="0" xfId="0">
      <alignment horizontal="right"/>
    </xf>
    <xf numFmtId="172" fontId="14" fillId="5" borderId="0" applyAlignment="1" pivotButton="0" quotePrefix="0" xfId="1">
      <alignment horizontal="center"/>
    </xf>
    <xf numFmtId="173" fontId="0" fillId="0" borderId="16" applyAlignment="1" applyProtection="1" pivotButton="0" quotePrefix="0" xfId="2">
      <alignment horizontal="center"/>
      <protection locked="0" hidden="0"/>
    </xf>
    <xf numFmtId="173" fontId="0" fillId="3" borderId="0" applyAlignment="1" pivotButton="0" quotePrefix="0" xfId="0">
      <alignment horizontal="center"/>
    </xf>
    <xf numFmtId="173" fontId="0" fillId="0" borderId="0" applyAlignment="1" pivotButton="0" quotePrefix="0" xfId="0">
      <alignment horizontal="center"/>
    </xf>
    <xf numFmtId="173" fontId="0" fillId="3" borderId="18" applyAlignment="1" pivotButton="0" quotePrefix="0" xfId="0">
      <alignment horizontal="center"/>
    </xf>
    <xf numFmtId="174" fontId="0" fillId="3" borderId="0" applyAlignment="1" pivotButton="0" quotePrefix="0" xfId="0">
      <alignment horizontal="center"/>
    </xf>
    <xf numFmtId="174" fontId="14" fillId="3" borderId="0" applyAlignment="1" pivotButton="0" quotePrefix="0" xfId="0">
      <alignment horizontal="center"/>
    </xf>
    <xf numFmtId="175" fontId="14" fillId="3" borderId="0" applyAlignment="1" pivotButton="0" quotePrefix="0" xfId="2">
      <alignment horizontal="center"/>
    </xf>
    <xf numFmtId="173" fontId="0" fillId="0" borderId="7" pivotButton="0" quotePrefix="0" xfId="0"/>
    <xf numFmtId="173" fontId="0" fillId="0" borderId="11" pivotButton="0" quotePrefix="0" xfId="0"/>
    <xf numFmtId="167" fontId="0" fillId="0" borderId="0" pivotButton="0" quotePrefix="0" xfId="1"/>
    <xf numFmtId="176" fontId="14" fillId="5" borderId="0" pivotButton="0" quotePrefix="0" xfId="0"/>
    <xf numFmtId="176" fontId="0" fillId="5" borderId="0" pivotButton="0" quotePrefix="0" xfId="1"/>
    <xf numFmtId="170" fontId="14" fillId="5" borderId="0" applyAlignment="1" pivotButton="0" quotePrefix="0" xfId="1">
      <alignment horizontal="right"/>
    </xf>
    <xf numFmtId="176" fontId="14" fillId="5" borderId="0" applyAlignment="1" pivotButton="0" quotePrefix="0" xfId="1">
      <alignment horizontal="center"/>
    </xf>
    <xf numFmtId="177" fontId="0" fillId="9" borderId="0" applyAlignment="1" pivotButton="0" quotePrefix="0" xfId="1">
      <alignment horizontal="center"/>
    </xf>
    <xf numFmtId="177" fontId="0" fillId="0" borderId="40" applyAlignment="1" applyProtection="1" pivotButton="0" quotePrefix="0" xfId="1">
      <alignment horizontal="center"/>
      <protection locked="0" hidden="0"/>
    </xf>
    <xf numFmtId="177" fontId="33" fillId="6" borderId="40" applyAlignment="1" applyProtection="1" pivotButton="0" quotePrefix="0" xfId="1">
      <alignment horizontal="center"/>
      <protection locked="0" hidden="0"/>
    </xf>
    <xf numFmtId="177" fontId="33" fillId="9" borderId="0" applyAlignment="1" pivotButton="0" quotePrefix="0" xfId="1">
      <alignment horizontal="center"/>
    </xf>
    <xf numFmtId="168" fontId="5" fillId="5" borderId="0" applyAlignment="1" pivotButton="0" quotePrefix="0" xfId="0">
      <alignment horizontal="center"/>
    </xf>
    <xf numFmtId="177" fontId="5" fillId="5" borderId="0" pivotButton="0" quotePrefix="0" xfId="0"/>
    <xf numFmtId="168" fontId="0" fillId="6" borderId="1" applyAlignment="1" applyProtection="1" pivotButton="0" quotePrefix="0" xfId="1">
      <alignment horizontal="center"/>
      <protection locked="0" hidden="0"/>
    </xf>
    <xf numFmtId="168" fontId="0" fillId="6" borderId="22" applyAlignment="1" applyProtection="1" pivotButton="0" quotePrefix="0" xfId="1">
      <alignment horizontal="center"/>
      <protection locked="0" hidden="0"/>
    </xf>
    <xf numFmtId="168" fontId="0" fillId="6" borderId="3" applyAlignment="1" applyProtection="1" pivotButton="0" quotePrefix="0" xfId="1">
      <alignment horizontal="center"/>
      <protection locked="0" hidden="0"/>
    </xf>
    <xf numFmtId="168" fontId="0" fillId="0" borderId="1" applyAlignment="1" applyProtection="1" pivotButton="0" quotePrefix="0" xfId="1">
      <alignment horizontal="center"/>
      <protection locked="0" hidden="0"/>
    </xf>
    <xf numFmtId="168" fontId="0" fillId="0" borderId="22" applyAlignment="1" applyProtection="1" pivotButton="0" quotePrefix="0" xfId="1">
      <alignment horizontal="center"/>
      <protection locked="0" hidden="0"/>
    </xf>
    <xf numFmtId="175" fontId="0" fillId="3" borderId="0" applyAlignment="1" pivotButton="0" quotePrefix="0" xfId="2">
      <alignment horizontal="center"/>
    </xf>
    <xf numFmtId="175" fontId="14" fillId="3" borderId="0" applyAlignment="1" pivotButton="0" quotePrefix="0" xfId="0">
      <alignment horizontal="center" wrapText="1"/>
    </xf>
    <xf numFmtId="170" fontId="0" fillId="5" borderId="0" pivotButton="0" quotePrefix="0" xfId="0"/>
    <xf numFmtId="175" fontId="0" fillId="0" borderId="0" pivotButton="0" quotePrefix="0" xfId="0"/>
    <xf numFmtId="175" fontId="0" fillId="0" borderId="1" applyAlignment="1" applyProtection="1" pivotButton="0" quotePrefix="0" xfId="0">
      <alignment horizontal="center"/>
      <protection locked="0" hidden="0"/>
    </xf>
    <xf numFmtId="175" fontId="0" fillId="5" borderId="0" applyAlignment="1" pivotButton="0" quotePrefix="0" xfId="2">
      <alignment horizontal="center"/>
    </xf>
    <xf numFmtId="177" fontId="0" fillId="0" borderId="0" pivotButton="0" quotePrefix="0" xfId="0"/>
    <xf numFmtId="174" fontId="0" fillId="0" borderId="0" pivotButton="0" quotePrefix="0" xfId="2"/>
    <xf numFmtId="174" fontId="0" fillId="0" borderId="10" pivotButton="0" quotePrefix="0" xfId="2"/>
    <xf numFmtId="175" fontId="5" fillId="3" borderId="0" applyAlignment="1" pivotButton="0" quotePrefix="0" xfId="0">
      <alignment horizontal="center"/>
    </xf>
    <xf numFmtId="170" fontId="0" fillId="5" borderId="0" applyAlignment="1" pivotButton="0" quotePrefix="0" xfId="1">
      <alignment vertical="center"/>
    </xf>
    <xf numFmtId="175" fontId="5" fillId="3" borderId="0" applyAlignment="1" pivotButton="0" quotePrefix="0" xfId="0">
      <alignment horizontal="right" vertical="center"/>
    </xf>
    <xf numFmtId="175" fontId="4" fillId="3" borderId="0" applyAlignment="1" pivotButton="0" quotePrefix="0" xfId="0">
      <alignment vertical="center"/>
    </xf>
    <xf numFmtId="175" fontId="5" fillId="3" borderId="0" applyAlignment="1" pivotButton="0" quotePrefix="0" xfId="0">
      <alignment vertical="center"/>
    </xf>
    <xf numFmtId="175" fontId="24" fillId="3" borderId="0" applyAlignment="1" pivotButton="0" quotePrefix="0" xfId="0">
      <alignment vertical="center"/>
    </xf>
    <xf numFmtId="175" fontId="4" fillId="3" borderId="0" pivotButton="0" quotePrefix="0" xfId="2"/>
    <xf numFmtId="175" fontId="4" fillId="3" borderId="28" pivotButton="0" quotePrefix="0" xfId="2"/>
    <xf numFmtId="167" fontId="4" fillId="3" borderId="0" pivotButton="0" quotePrefix="0" xfId="1"/>
    <xf numFmtId="167" fontId="4" fillId="3" borderId="29" pivotButton="0" quotePrefix="0" xfId="1"/>
    <xf numFmtId="175" fontId="27" fillId="3" borderId="30" pivotButton="0" quotePrefix="0" xfId="0"/>
    <xf numFmtId="175" fontId="11" fillId="3" borderId="0" pivotButton="0" quotePrefix="0" xfId="0"/>
    <xf numFmtId="175" fontId="5" fillId="3" borderId="0" pivotButton="0" quotePrefix="0" xfId="0"/>
    <xf numFmtId="174" fontId="0" fillId="0" borderId="0" pivotButton="0" quotePrefix="0" xfId="0"/>
    <xf numFmtId="0" fontId="4" fillId="3" borderId="0" applyAlignment="1" pivotButton="0" quotePrefix="0" xfId="0">
      <alignment horizontal="left" wrapText="1"/>
    </xf>
    <xf numFmtId="0" fontId="0" fillId="3" borderId="0" pivotButton="0" quotePrefix="0" xfId="0"/>
    <xf numFmtId="0" fontId="4" fillId="5" borderId="0" applyAlignment="1" pivotButton="0" quotePrefix="0" xfId="0">
      <alignment horizontal="left" wrapText="1"/>
    </xf>
    <xf numFmtId="0" fontId="1" fillId="0" borderId="0" applyAlignment="1" pivotButton="0" quotePrefix="0" xfId="0">
      <alignment horizontal="center" vertical="center"/>
    </xf>
    <xf numFmtId="0" fontId="0" fillId="0" borderId="0" applyAlignment="1" pivotButton="0" quotePrefix="0" xfId="0">
      <alignment horizontal="left" wrapText="1"/>
    </xf>
    <xf numFmtId="0" fontId="0" fillId="5" borderId="0" applyAlignment="1" pivotButton="0" quotePrefix="0" xfId="0">
      <alignment horizontal="right"/>
    </xf>
    <xf numFmtId="0" fontId="14" fillId="5" borderId="0" applyAlignment="1" pivotButton="0" quotePrefix="0" xfId="0">
      <alignment horizontal="center"/>
    </xf>
    <xf numFmtId="0" fontId="0" fillId="5" borderId="0" applyAlignment="1" pivotButton="0" quotePrefix="0" xfId="0">
      <alignment horizontal="right" vertical="center"/>
    </xf>
    <xf numFmtId="0" fontId="0" fillId="0" borderId="8" pivotButton="0" quotePrefix="0" xfId="0"/>
    <xf numFmtId="0" fontId="0" fillId="0" borderId="0" applyProtection="1" pivotButton="0" quotePrefix="0" xfId="0">
      <protection locked="0" hidden="0"/>
    </xf>
    <xf numFmtId="0" fontId="0" fillId="3" borderId="0" applyAlignment="1" pivotButton="0" quotePrefix="0" xfId="0">
      <alignment horizontal="right"/>
    </xf>
    <xf numFmtId="0" fontId="14" fillId="3" borderId="0" applyAlignment="1" pivotButton="0" quotePrefix="0" xfId="0">
      <alignment horizontal="center"/>
    </xf>
    <xf numFmtId="0" fontId="0" fillId="0" borderId="0" applyAlignment="1" pivotButton="0" quotePrefix="0" xfId="0">
      <alignment horizontal="center"/>
    </xf>
    <xf numFmtId="0" fontId="14" fillId="3" borderId="0" applyAlignment="1" pivotButton="0" quotePrefix="0" xfId="0">
      <alignment horizontal="left" wrapText="1"/>
    </xf>
    <xf numFmtId="0" fontId="0" fillId="0" borderId="0" applyAlignment="1" pivotButton="0" quotePrefix="0" xfId="0">
      <alignment vertical="center"/>
    </xf>
    <xf numFmtId="0" fontId="11" fillId="5" borderId="0" applyAlignment="1" pivotButton="0" quotePrefix="0" xfId="0">
      <alignment horizontal="center"/>
    </xf>
    <xf numFmtId="0" fontId="0" fillId="0" borderId="12" pivotButton="0" quotePrefix="0" xfId="0"/>
    <xf numFmtId="0" fontId="14" fillId="3" borderId="0" applyAlignment="1" pivotButton="0" quotePrefix="0" xfId="0">
      <alignment horizontal="right"/>
    </xf>
    <xf numFmtId="0" fontId="14" fillId="3" borderId="0" applyAlignment="1" pivotButton="0" quotePrefix="0" xfId="0">
      <alignment horizontal="center" wrapText="1"/>
    </xf>
    <xf numFmtId="0" fontId="14" fillId="3" borderId="0" applyAlignment="1" pivotButton="0" quotePrefix="0" xfId="0">
      <alignment horizontal="left"/>
    </xf>
    <xf numFmtId="0" fontId="0" fillId="5" borderId="0" applyAlignment="1" pivotButton="0" quotePrefix="0" xfId="0">
      <alignment horizontal="right" wrapText="1"/>
    </xf>
    <xf numFmtId="0" fontId="14" fillId="5" borderId="0" applyAlignment="1" pivotButton="0" quotePrefix="0" xfId="0">
      <alignment horizontal="right"/>
    </xf>
    <xf numFmtId="177" fontId="0" fillId="5" borderId="0" applyAlignment="1" pivotButton="0" quotePrefix="0" xfId="0">
      <alignment horizontal="center"/>
    </xf>
    <xf numFmtId="0" fontId="0" fillId="0" borderId="0" applyAlignment="1" pivotButton="0" quotePrefix="0" xfId="0">
      <alignment horizontal="left" vertical="center" wrapText="1"/>
    </xf>
    <xf numFmtId="0" fontId="0" fillId="0" borderId="0" applyAlignment="1" pivotButton="0" quotePrefix="0" xfId="0">
      <alignment horizontal="center" vertical="center"/>
    </xf>
    <xf numFmtId="165" fontId="4" fillId="7" borderId="0" applyAlignment="1" pivotButton="0" quotePrefix="0" xfId="0">
      <alignment horizontal="center" vertical="center"/>
    </xf>
    <xf numFmtId="165" fontId="24" fillId="3" borderId="0" applyAlignment="1" pivotButton="0" quotePrefix="0" xfId="0">
      <alignment horizontal="center" vertical="center"/>
    </xf>
    <xf numFmtId="0" fontId="39" fillId="12" borderId="0" applyAlignment="1" pivotButton="0" quotePrefix="0" xfId="0">
      <alignment horizontal="right" vertical="center"/>
    </xf>
    <xf numFmtId="0" fontId="39" fillId="11" borderId="0" applyAlignment="1" pivotButton="0" quotePrefix="0" xfId="0">
      <alignment horizontal="right" vertical="center"/>
    </xf>
    <xf numFmtId="0" fontId="4" fillId="3" borderId="0" applyAlignment="1" pivotButton="0" quotePrefix="0" xfId="0">
      <alignment horizontal="right" vertical="center"/>
    </xf>
    <xf numFmtId="178" fontId="29" fillId="0" borderId="45" pivotButton="0" quotePrefix="0" xfId="2"/>
    <xf numFmtId="178" fontId="0" fillId="0" borderId="11" applyAlignment="1" pivotButton="0" quotePrefix="0" xfId="0">
      <alignment vertical="center"/>
    </xf>
    <xf numFmtId="179" fontId="4" fillId="3" borderId="0" pivotButton="0" quotePrefix="0" xfId="1"/>
    <xf numFmtId="14" fontId="0" fillId="0" borderId="14" applyAlignment="1" applyProtection="1" pivotButton="0" quotePrefix="0" xfId="1">
      <alignment horizontal="center"/>
      <protection locked="0" hidden="1"/>
    </xf>
    <xf numFmtId="14" fontId="0" fillId="6" borderId="1" applyAlignment="1" applyProtection="1" pivotButton="0" quotePrefix="0" xfId="1">
      <alignment horizontal="center"/>
      <protection locked="0" hidden="1"/>
    </xf>
    <xf numFmtId="14" fontId="0" fillId="0" borderId="15" applyAlignment="1" applyProtection="1" pivotButton="0" quotePrefix="0" xfId="1">
      <alignment horizontal="center"/>
      <protection locked="0" hidden="1"/>
    </xf>
    <xf numFmtId="1" fontId="4" fillId="0" borderId="40" applyAlignment="1" applyProtection="1" pivotButton="0" quotePrefix="0" xfId="0">
      <alignment horizontal="center"/>
      <protection locked="0" hidden="1"/>
    </xf>
    <xf numFmtId="0" fontId="4" fillId="3" borderId="0" applyAlignment="1" pivotButton="0" quotePrefix="0" xfId="0">
      <alignment horizontal="left" wrapText="1"/>
    </xf>
    <xf numFmtId="0" fontId="0" fillId="0" borderId="0" pivotButton="0" quotePrefix="0" xfId="0"/>
    <xf numFmtId="0" fontId="0" fillId="3" borderId="0" pivotButton="0" quotePrefix="0" xfId="0"/>
    <xf numFmtId="0" fontId="8" fillId="3" borderId="0" applyAlignment="1" pivotButton="0" quotePrefix="0" xfId="0">
      <alignment horizontal="center"/>
    </xf>
    <xf numFmtId="0" fontId="7" fillId="3" borderId="0" applyAlignment="1" pivotButton="0" quotePrefix="0" xfId="0">
      <alignment horizontal="center" vertical="center" wrapText="1"/>
    </xf>
    <xf numFmtId="0" fontId="4" fillId="5" borderId="0" applyAlignment="1" pivotButton="0" quotePrefix="0" xfId="0">
      <alignment horizontal="left" wrapText="1"/>
    </xf>
    <xf numFmtId="0" fontId="7" fillId="3" borderId="0" applyAlignment="1" pivotButton="0" quotePrefix="0" xfId="0">
      <alignment horizontal="left" wrapText="1"/>
    </xf>
    <xf numFmtId="0" fontId="41" fillId="0" borderId="0" applyAlignment="1" pivotButton="0" quotePrefix="0" xfId="0">
      <alignment horizontal="center" vertical="center" wrapText="1"/>
    </xf>
    <xf numFmtId="0" fontId="1" fillId="0" borderId="0" applyAlignment="1" pivotButton="0" quotePrefix="0" xfId="0">
      <alignment horizontal="center" vertical="center"/>
    </xf>
    <xf numFmtId="0" fontId="8" fillId="5" borderId="0" applyAlignment="1" pivotButton="0" quotePrefix="0" xfId="0">
      <alignment horizontal="center"/>
    </xf>
    <xf numFmtId="0" fontId="0" fillId="0" borderId="0" applyAlignment="1" pivotButton="0" quotePrefix="0" xfId="0">
      <alignment horizontal="left" wrapText="1"/>
    </xf>
    <xf numFmtId="0" fontId="0" fillId="5" borderId="0" applyAlignment="1" pivotButton="0" quotePrefix="0" xfId="0">
      <alignment horizontal="right"/>
    </xf>
    <xf numFmtId="0" fontId="14" fillId="5" borderId="0" applyAlignment="1" pivotButton="0" quotePrefix="0" xfId="0">
      <alignment horizontal="center"/>
    </xf>
    <xf numFmtId="0" fontId="0" fillId="5" borderId="0" applyAlignment="1" pivotButton="0" quotePrefix="0" xfId="0">
      <alignment horizontal="right" vertical="center"/>
    </xf>
    <xf numFmtId="0" fontId="0" fillId="0" borderId="40" applyAlignment="1" applyProtection="1" pivotButton="0" quotePrefix="0" xfId="1">
      <alignment horizontal="center"/>
      <protection locked="0" hidden="0"/>
    </xf>
    <xf numFmtId="0" fontId="0" fillId="0" borderId="38" applyProtection="1" pivotButton="0" quotePrefix="0" xfId="0">
      <protection locked="0" hidden="0"/>
    </xf>
    <xf numFmtId="0" fontId="0" fillId="0" borderId="39" applyProtection="1" pivotButton="0" quotePrefix="0" xfId="0">
      <protection locked="0" hidden="0"/>
    </xf>
    <xf numFmtId="0" fontId="9" fillId="0" borderId="2" applyAlignment="1" pivotButton="0" quotePrefix="0" xfId="0">
      <alignment horizontal="center" vertical="center"/>
    </xf>
    <xf numFmtId="0" fontId="0" fillId="0" borderId="8" pivotButton="0" quotePrefix="0" xfId="0"/>
    <xf numFmtId="0" fontId="10" fillId="0" borderId="8" applyAlignment="1" pivotButton="0" quotePrefix="0" xfId="0">
      <alignment horizontal="left" wrapText="1"/>
    </xf>
    <xf numFmtId="0" fontId="0" fillId="0" borderId="8" applyAlignment="1" pivotButton="0" quotePrefix="0" xfId="0">
      <alignment horizontal="left" wrapText="1"/>
    </xf>
    <xf numFmtId="0" fontId="13" fillId="3" borderId="0" applyAlignment="1" applyProtection="1" pivotButton="0" quotePrefix="0" xfId="4">
      <alignment horizontal="left"/>
      <protection locked="0" hidden="0"/>
    </xf>
    <xf numFmtId="0" fontId="0" fillId="0" borderId="0" applyProtection="1" pivotButton="0" quotePrefix="0" xfId="0">
      <protection locked="0" hidden="0"/>
    </xf>
    <xf numFmtId="0" fontId="13" fillId="3" borderId="0" applyProtection="1" pivotButton="0" quotePrefix="0" xfId="4">
      <protection locked="0" hidden="0"/>
    </xf>
    <xf numFmtId="0" fontId="9" fillId="0" borderId="0" applyAlignment="1" pivotButton="0" quotePrefix="0" xfId="0">
      <alignment horizontal="center" vertical="center" wrapText="1"/>
    </xf>
    <xf numFmtId="0" fontId="0" fillId="3" borderId="0" applyAlignment="1" pivotButton="0" quotePrefix="0" xfId="0">
      <alignment horizontal="right" wrapText="1"/>
    </xf>
    <xf numFmtId="0" fontId="0" fillId="3" borderId="0" applyAlignment="1" pivotButton="0" quotePrefix="0" xfId="0">
      <alignment horizontal="right"/>
    </xf>
    <xf numFmtId="0" fontId="14" fillId="3" borderId="0" applyAlignment="1" pivotButton="0" quotePrefix="0" xfId="0">
      <alignment horizontal="center"/>
    </xf>
    <xf numFmtId="0" fontId="0" fillId="0" borderId="0" applyAlignment="1" pivotButton="0" quotePrefix="0" xfId="0">
      <alignment horizontal="center"/>
    </xf>
    <xf numFmtId="0" fontId="33" fillId="3" borderId="0" applyAlignment="1" pivotButton="0" quotePrefix="0" xfId="0">
      <alignment horizontal="right" wrapText="1"/>
    </xf>
    <xf numFmtId="0" fontId="0" fillId="5" borderId="17" applyAlignment="1" pivotButton="0" quotePrefix="0" xfId="0">
      <alignment horizontal="center" vertical="center" wrapText="1"/>
    </xf>
    <xf numFmtId="0" fontId="0" fillId="0" borderId="17" pivotButton="0" quotePrefix="0" xfId="0"/>
    <xf numFmtId="0" fontId="17" fillId="5" borderId="0" applyAlignment="1" pivotButton="0" quotePrefix="0" xfId="0">
      <alignment horizontal="center" wrapText="1"/>
    </xf>
    <xf numFmtId="0" fontId="14" fillId="3" borderId="0" applyAlignment="1" pivotButton="0" quotePrefix="0" xfId="0">
      <alignment horizontal="left" wrapText="1"/>
    </xf>
    <xf numFmtId="0" fontId="0" fillId="0" borderId="0" applyAlignment="1" pivotButton="0" quotePrefix="0" xfId="0">
      <alignment vertical="center"/>
    </xf>
    <xf numFmtId="176" fontId="0" fillId="6" borderId="40" applyAlignment="1" applyProtection="1" pivotButton="0" quotePrefix="0" xfId="1">
      <alignment horizontal="center"/>
      <protection locked="0" hidden="0"/>
    </xf>
    <xf numFmtId="0" fontId="11" fillId="5" borderId="0" applyAlignment="1" pivotButton="0" quotePrefix="0" xfId="0">
      <alignment horizontal="center"/>
    </xf>
    <xf numFmtId="0" fontId="0" fillId="3" borderId="0" applyAlignment="1" pivotButton="0" quotePrefix="0" xfId="0">
      <alignment horizontal="left" wrapText="1"/>
    </xf>
    <xf numFmtId="0" fontId="0" fillId="0" borderId="12" applyAlignment="1" pivotButton="0" quotePrefix="0" xfId="0">
      <alignment horizontal="left" wrapText="1"/>
    </xf>
    <xf numFmtId="0" fontId="0" fillId="0" borderId="12" pivotButton="0" quotePrefix="0" xfId="0"/>
    <xf numFmtId="0" fontId="14" fillId="3" borderId="0" applyAlignment="1" pivotButton="0" quotePrefix="0" xfId="0">
      <alignment horizontal="right"/>
    </xf>
    <xf numFmtId="0" fontId="14" fillId="3" borderId="0" applyAlignment="1" pivotButton="0" quotePrefix="0" xfId="0">
      <alignment horizontal="center" wrapText="1"/>
    </xf>
    <xf numFmtId="0" fontId="14" fillId="3" borderId="0" applyAlignment="1" pivotButton="0" quotePrefix="0" xfId="0">
      <alignment horizontal="left"/>
    </xf>
    <xf numFmtId="0" fontId="0" fillId="5" borderId="0" applyAlignment="1" pivotButton="0" quotePrefix="0" xfId="0">
      <alignment horizontal="right" wrapText="1"/>
    </xf>
    <xf numFmtId="0" fontId="41" fillId="0" borderId="0" applyAlignment="1" pivotButton="0" quotePrefix="0" xfId="0">
      <alignment horizontal="center" vertical="center"/>
    </xf>
    <xf numFmtId="0" fontId="17" fillId="0" borderId="18" applyAlignment="1" pivotButton="0" quotePrefix="0" xfId="0">
      <alignment horizontal="left" wrapText="1"/>
    </xf>
    <xf numFmtId="1" fontId="33" fillId="9" borderId="0" applyAlignment="1" pivotButton="0" quotePrefix="0" xfId="1">
      <alignment horizontal="center"/>
    </xf>
    <xf numFmtId="0" fontId="20" fillId="5" borderId="0" applyAlignment="1" pivotButton="0" quotePrefix="0" xfId="0">
      <alignment horizontal="left"/>
    </xf>
    <xf numFmtId="0" fontId="14" fillId="3" borderId="0" applyAlignment="1" pivotButton="0" quotePrefix="0" xfId="0">
      <alignment wrapText="1"/>
    </xf>
    <xf numFmtId="176" fontId="14" fillId="5" borderId="0" applyAlignment="1" pivotButton="0" quotePrefix="0" xfId="0">
      <alignment horizontal="left"/>
    </xf>
    <xf numFmtId="176" fontId="0" fillId="5" borderId="0" applyAlignment="1" pivotButton="0" quotePrefix="0" xfId="1">
      <alignment horizontal="left"/>
    </xf>
    <xf numFmtId="170" fontId="33" fillId="5" borderId="0" applyAlignment="1" pivotButton="0" quotePrefix="0" xfId="1">
      <alignment horizontal="left"/>
    </xf>
    <xf numFmtId="0" fontId="36" fillId="5" borderId="41" applyAlignment="1" pivotButton="0" quotePrefix="0" xfId="0">
      <alignment horizontal="center" vertical="center" wrapText="1"/>
    </xf>
    <xf numFmtId="0" fontId="0" fillId="0" borderId="41" pivotButton="0" quotePrefix="0" xfId="0"/>
    <xf numFmtId="0" fontId="36" fillId="5" borderId="0" applyAlignment="1" pivotButton="0" quotePrefix="0" xfId="0">
      <alignment horizontal="center" vertical="center" wrapText="1"/>
    </xf>
    <xf numFmtId="0" fontId="14" fillId="5" borderId="0" applyAlignment="1" pivotButton="0" quotePrefix="0" xfId="0">
      <alignment horizontal="right"/>
    </xf>
    <xf numFmtId="0" fontId="0" fillId="5" borderId="0" applyAlignment="1" pivotButton="0" quotePrefix="0" xfId="0">
      <alignment horizontal="right" vertical="top" wrapText="1"/>
    </xf>
    <xf numFmtId="0" fontId="14" fillId="0" borderId="0" applyAlignment="1" pivotButton="0" quotePrefix="0" xfId="0">
      <alignment horizontal="left" wrapText="1"/>
    </xf>
    <xf numFmtId="0" fontId="9" fillId="3" borderId="0" applyAlignment="1" pivotButton="0" quotePrefix="0" xfId="0">
      <alignment horizontal="center"/>
    </xf>
    <xf numFmtId="0" fontId="9" fillId="3" borderId="0" applyAlignment="1" pivotButton="0" quotePrefix="0" xfId="0">
      <alignment horizontal="center" vertical="center" wrapText="1"/>
    </xf>
    <xf numFmtId="177" fontId="0" fillId="0" borderId="1" applyAlignment="1" applyProtection="1" pivotButton="0" quotePrefix="0" xfId="1">
      <alignment horizontal="center" vertical="center"/>
      <protection locked="0" hidden="0"/>
    </xf>
    <xf numFmtId="0" fontId="0" fillId="0" borderId="47" applyProtection="1" pivotButton="0" quotePrefix="0" xfId="0">
      <protection locked="0" hidden="0"/>
    </xf>
    <xf numFmtId="177" fontId="0" fillId="5" borderId="0" applyAlignment="1" pivotButton="0" quotePrefix="0" xfId="0">
      <alignment horizontal="center"/>
    </xf>
    <xf numFmtId="177" fontId="0" fillId="0" borderId="1" applyAlignment="1" applyProtection="1" pivotButton="0" quotePrefix="0" xfId="0">
      <alignment horizontal="center"/>
      <protection locked="0" hidden="0"/>
    </xf>
    <xf numFmtId="177" fontId="0" fillId="6" borderId="1" applyAlignment="1" applyProtection="1" pivotButton="0" quotePrefix="0" xfId="0">
      <alignment horizontal="center"/>
      <protection locked="0" hidden="0"/>
    </xf>
    <xf numFmtId="0" fontId="0" fillId="5" borderId="0" applyAlignment="1" pivotButton="0" quotePrefix="0" xfId="0">
      <alignment horizontal="right" vertical="top"/>
    </xf>
    <xf numFmtId="0" fontId="33" fillId="5" borderId="0" applyAlignment="1" pivotButton="0" quotePrefix="0" xfId="0">
      <alignment horizontal="right" wrapText="1"/>
    </xf>
    <xf numFmtId="0" fontId="21" fillId="5" borderId="0" applyAlignment="1" pivotButton="0" quotePrefix="0" xfId="0">
      <alignment horizontal="center"/>
    </xf>
    <xf numFmtId="0" fontId="13" fillId="0" borderId="0" applyAlignment="1" applyProtection="1" pivotButton="0" quotePrefix="0" xfId="4">
      <alignment horizontal="left" vertical="top" wrapText="1"/>
      <protection locked="0" hidden="0"/>
    </xf>
    <xf numFmtId="0" fontId="13" fillId="0" borderId="0" applyProtection="1" pivotButton="0" quotePrefix="0" xfId="4">
      <protection locked="0" hidden="0"/>
    </xf>
    <xf numFmtId="0" fontId="11" fillId="0" borderId="12" applyAlignment="1" pivotButton="0" quotePrefix="0" xfId="0">
      <alignment horizontal="left" vertical="top" wrapText="1"/>
    </xf>
    <xf numFmtId="176" fontId="0" fillId="5" borderId="0" applyAlignment="1" pivotButton="0" quotePrefix="0" xfId="0">
      <alignment horizontal="center"/>
    </xf>
    <xf numFmtId="0" fontId="17" fillId="0" borderId="1" applyAlignment="1" applyProtection="1" pivotButton="0" quotePrefix="0" xfId="0">
      <alignment horizontal="center"/>
      <protection locked="0" hidden="0"/>
    </xf>
    <xf numFmtId="0" fontId="0" fillId="0" borderId="46" applyProtection="1" pivotButton="0" quotePrefix="0" xfId="0">
      <protection locked="0" hidden="0"/>
    </xf>
    <xf numFmtId="0" fontId="16" fillId="0" borderId="0" applyAlignment="1" pivotButton="0" quotePrefix="0" xfId="0">
      <alignment horizontal="left" wrapText="1"/>
    </xf>
    <xf numFmtId="0" fontId="0" fillId="0" borderId="0" applyAlignment="1" pivotButton="0" quotePrefix="0" xfId="0">
      <alignment horizontal="left" vertical="center" wrapText="1"/>
    </xf>
    <xf numFmtId="0" fontId="13" fillId="0" borderId="8" applyAlignment="1" applyProtection="1" pivotButton="0" quotePrefix="0" xfId="4">
      <alignment horizontal="left" vertical="center" wrapText="1"/>
      <protection locked="0" hidden="0"/>
    </xf>
    <xf numFmtId="0" fontId="0" fillId="0" borderId="8" applyProtection="1" pivotButton="0" quotePrefix="0" xfId="0">
      <protection locked="0" hidden="0"/>
    </xf>
    <xf numFmtId="0" fontId="8" fillId="7" borderId="0" applyAlignment="1" pivotButton="0" quotePrefix="0" xfId="0">
      <alignment horizontal="center" vertical="center"/>
    </xf>
    <xf numFmtId="0" fontId="0" fillId="0" borderId="0" applyAlignment="1" pivotButton="0" quotePrefix="0" xfId="0">
      <alignment horizontal="center" vertical="center"/>
    </xf>
    <xf numFmtId="0" fontId="4" fillId="7" borderId="0" applyAlignment="1" pivotButton="0" quotePrefix="0" xfId="0">
      <alignment horizontal="center" vertical="center"/>
    </xf>
    <xf numFmtId="165" fontId="4" fillId="7" borderId="0" applyAlignment="1" pivotButton="0" quotePrefix="0" xfId="0">
      <alignment horizontal="center" vertical="center"/>
    </xf>
    <xf numFmtId="0" fontId="30" fillId="5" borderId="0" applyAlignment="1" pivotButton="0" quotePrefix="0" xfId="0">
      <alignment horizontal="center" vertical="center"/>
    </xf>
    <xf numFmtId="0" fontId="4" fillId="7" borderId="0" applyAlignment="1" pivotButton="0" quotePrefix="0" xfId="0">
      <alignment horizontal="right" vertical="center"/>
    </xf>
    <xf numFmtId="0" fontId="0" fillId="0" borderId="1" applyAlignment="1" applyProtection="1" pivotButton="0" quotePrefix="0" xfId="0">
      <alignment horizontal="center" vertical="center"/>
      <protection locked="0" hidden="0"/>
    </xf>
    <xf numFmtId="0" fontId="1" fillId="7" borderId="0" applyAlignment="1" pivotButton="0" quotePrefix="0" xfId="0">
      <alignment horizontal="center" vertical="center" wrapText="1"/>
    </xf>
    <xf numFmtId="0" fontId="1" fillId="3" borderId="0" applyAlignment="1" pivotButton="0" quotePrefix="0" xfId="0">
      <alignment horizontal="center" vertical="center" wrapText="1"/>
    </xf>
    <xf numFmtId="0" fontId="31" fillId="3" borderId="0" applyAlignment="1" pivotButton="0" quotePrefix="0" xfId="0">
      <alignment horizontal="right" vertical="center"/>
    </xf>
    <xf numFmtId="165" fontId="39" fillId="3" borderId="42" applyAlignment="1" pivotButton="0" quotePrefix="0" xfId="0">
      <alignment horizontal="center" vertical="center"/>
    </xf>
    <xf numFmtId="0" fontId="0" fillId="0" borderId="42" pivotButton="0" quotePrefix="0" xfId="0"/>
    <xf numFmtId="178" fontId="4" fillId="3" borderId="0" applyAlignment="1" pivotButton="0" quotePrefix="0" xfId="0">
      <alignment horizontal="center" vertical="center"/>
    </xf>
    <xf numFmtId="165" fontId="24" fillId="3" borderId="0" applyAlignment="1" pivotButton="0" quotePrefix="0" xfId="0">
      <alignment horizontal="center" vertical="center"/>
    </xf>
    <xf numFmtId="0" fontId="31" fillId="11" borderId="0" applyAlignment="1" pivotButton="0" quotePrefix="0" xfId="0">
      <alignment horizontal="right" vertical="center"/>
    </xf>
    <xf numFmtId="0" fontId="24" fillId="3" borderId="0" applyAlignment="1" pivotButton="0" quotePrefix="0" xfId="0">
      <alignment horizontal="center" vertical="center"/>
    </xf>
    <xf numFmtId="0" fontId="39" fillId="12" borderId="0" applyAlignment="1" pivotButton="0" quotePrefix="0" xfId="0">
      <alignment horizontal="right" vertical="center"/>
    </xf>
    <xf numFmtId="180" fontId="29" fillId="0" borderId="1" applyAlignment="1" applyProtection="1" pivotButton="0" quotePrefix="0" xfId="3">
      <alignment horizontal="center" vertical="center"/>
      <protection locked="0" hidden="0"/>
    </xf>
    <xf numFmtId="0" fontId="39" fillId="11" borderId="0" applyAlignment="1" pivotButton="0" quotePrefix="0" xfId="0">
      <alignment horizontal="right" vertical="center"/>
    </xf>
    <xf numFmtId="0" fontId="4" fillId="7" borderId="0" applyAlignment="1" pivotButton="0" quotePrefix="0" xfId="1">
      <alignment horizontal="center" vertical="center"/>
    </xf>
    <xf numFmtId="0" fontId="4" fillId="3" borderId="0" applyAlignment="1" pivotButton="0" quotePrefix="0" xfId="0">
      <alignment horizontal="right" vertical="center"/>
    </xf>
    <xf numFmtId="165" fontId="5" fillId="3" borderId="0" applyAlignment="1" pivotButton="0" quotePrefix="0" xfId="2">
      <alignment horizontal="center" vertical="center"/>
    </xf>
    <xf numFmtId="176" fontId="0" fillId="5" borderId="0" applyAlignment="1" pivotButton="0" quotePrefix="0" xfId="1">
      <alignment horizontal="center" vertical="center"/>
    </xf>
    <xf numFmtId="165" fontId="4" fillId="0" borderId="1" applyAlignment="1" applyProtection="1" pivotButton="0" quotePrefix="0" xfId="0">
      <alignment horizontal="center" vertical="center"/>
      <protection locked="0" hidden="0"/>
    </xf>
    <xf numFmtId="165" fontId="5" fillId="3" borderId="0" applyAlignment="1" pivotButton="0" quotePrefix="0" xfId="0">
      <alignment horizontal="center" vertical="center"/>
    </xf>
    <xf numFmtId="0" fontId="19" fillId="5" borderId="0" applyAlignment="1" pivotButton="0" quotePrefix="0" xfId="0">
      <alignment horizontal="center" vertical="center"/>
    </xf>
    <xf numFmtId="0" fontId="0" fillId="5" borderId="0" applyAlignment="1" pivotButton="0" quotePrefix="0" xfId="0">
      <alignment horizontal="right" vertical="center" wrapText="1"/>
    </xf>
    <xf numFmtId="165" fontId="4" fillId="0" borderId="1" applyAlignment="1" applyProtection="1" pivotButton="0" quotePrefix="0" xfId="2">
      <alignment horizontal="center" vertical="center"/>
      <protection locked="0" hidden="0"/>
    </xf>
    <xf numFmtId="0" fontId="0" fillId="0" borderId="8" applyAlignment="1" pivotButton="0" quotePrefix="0" xfId="0">
      <alignment horizontal="left" vertical="center" wrapText="1"/>
    </xf>
    <xf numFmtId="0" fontId="0" fillId="0" borderId="12" applyAlignment="1" pivotButton="0" quotePrefix="0" xfId="0">
      <alignment horizontal="left" vertical="center" wrapText="1"/>
    </xf>
    <xf numFmtId="0" fontId="1" fillId="0" borderId="0" applyAlignment="1" pivotButton="0" quotePrefix="0" xfId="0">
      <alignment horizontal="center" vertical="center" wrapText="1"/>
    </xf>
    <xf numFmtId="0" fontId="13" fillId="0" borderId="8" applyAlignment="1" pivotButton="0" quotePrefix="0" xfId="4">
      <alignment wrapText="1"/>
    </xf>
    <xf numFmtId="0" fontId="11" fillId="0" borderId="12" applyAlignment="1" pivotButton="0" quotePrefix="0" xfId="0">
      <alignment horizontal="left" wrapText="1"/>
    </xf>
  </cellXfs>
  <cellStyles count="5">
    <cellStyle name="Normal" xfId="0" builtinId="0"/>
    <cellStyle name="Milliers" xfId="1" builtinId="3"/>
    <cellStyle name="Monétaire" xfId="2" builtinId="4"/>
    <cellStyle name="Pourcentage" xfId="3" builtinId="5"/>
    <cellStyle name="Lien hypertexte" xfId="4" builtinId="8"/>
  </cellStyles>
  <dxfs count="1">
    <dxf>
      <font>
        <color rgb="FFFF000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639D25"/>
      <rgbColor rgb="FF800080"/>
      <rgbColor rgb="FF008080"/>
      <rgbColor rgb="FFD9D9D9"/>
      <rgbColor rgb="FF808080"/>
      <rgbColor rgb="FF9999FF"/>
      <rgbColor rgb="FF7030A0"/>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2D050"/>
      <rgbColor rgb="FFFF99CC"/>
      <rgbColor rgb="FFB99AC6"/>
      <rgbColor rgb="FFFFCC99"/>
      <rgbColor rgb="FF558ED5"/>
      <rgbColor rgb="FF33CCCC"/>
      <rgbColor rgb="FF99CC00"/>
      <rgbColor rgb="FFFFCC00"/>
      <rgbColor rgb="FFFF9900"/>
      <rgbColor rgb="FFFF6600"/>
      <rgbColor rgb="FF9E71AF"/>
      <rgbColor rgb="FF7F7F7F"/>
      <rgbColor rgb="FF1F497D"/>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styles" Target="styles.xml" Id="rId12"/><Relationship Type="http://schemas.openxmlformats.org/officeDocument/2006/relationships/theme" Target="theme/theme1.xml" Id="rId13"/></Relationships>
</file>

<file path=xl/drawings/_rels/drawing1.xml.rels><Relationships xmlns="http://schemas.openxmlformats.org/package/2006/relationships"><Relationship Type="http://schemas.openxmlformats.org/officeDocument/2006/relationships/image" Target="/xl/media/image1.jpeg" Id="rId1"/></Relationships>
</file>

<file path=xl/drawings/_rels/drawing10.xml.rels><Relationships xmlns="http://schemas.openxmlformats.org/package/2006/relationships"><Relationship Type="http://schemas.openxmlformats.org/officeDocument/2006/relationships/image" Target="/xl/media/image16.jpeg" Id="rId1"/></Relationships>
</file>

<file path=xl/drawings/_rels/drawing2.xml.rels><Relationships xmlns="http://schemas.openxmlformats.org/package/2006/relationships"><Relationship Type="http://schemas.openxmlformats.org/officeDocument/2006/relationships/image" Target="/xl/media/image2.jpeg" Id="rId1"/><Relationship Type="http://schemas.openxmlformats.org/officeDocument/2006/relationships/image" Target="/xl/media/image3.jpeg" Id="rId2"/></Relationships>
</file>

<file path=xl/drawings/_rels/drawing3.xml.rels><Relationships xmlns="http://schemas.openxmlformats.org/package/2006/relationships"><Relationship Type="http://schemas.openxmlformats.org/officeDocument/2006/relationships/image" Target="/xl/media/image4.jpeg" Id="rId1"/><Relationship Type="http://schemas.openxmlformats.org/officeDocument/2006/relationships/image" Target="/xl/media/image5.jpeg" Id="rId2"/></Relationships>
</file>

<file path=xl/drawings/_rels/drawing4.xml.rels><Relationships xmlns="http://schemas.openxmlformats.org/package/2006/relationships"><Relationship Type="http://schemas.openxmlformats.org/officeDocument/2006/relationships/image" Target="/xl/media/image6.jpeg" Id="rId1"/><Relationship Type="http://schemas.openxmlformats.org/officeDocument/2006/relationships/image" Target="/xl/media/image7.jpeg" Id="rId2"/></Relationships>
</file>

<file path=xl/drawings/_rels/drawing5.xml.rels><Relationships xmlns="http://schemas.openxmlformats.org/package/2006/relationships"><Relationship Type="http://schemas.openxmlformats.org/officeDocument/2006/relationships/image" Target="/xl/media/image8.jpeg" Id="rId1"/><Relationship Type="http://schemas.openxmlformats.org/officeDocument/2006/relationships/image" Target="/xl/media/image9.jpeg" Id="rId2"/></Relationships>
</file>

<file path=xl/drawings/_rels/drawing6.xml.rels><Relationships xmlns="http://schemas.openxmlformats.org/package/2006/relationships"><Relationship Type="http://schemas.openxmlformats.org/officeDocument/2006/relationships/image" Target="/xl/media/image10.jpeg" Id="rId1"/><Relationship Type="http://schemas.openxmlformats.org/officeDocument/2006/relationships/image" Target="/xl/media/image11.jpeg" Id="rId2"/></Relationships>
</file>

<file path=xl/drawings/_rels/drawing7.xml.rels><Relationships xmlns="http://schemas.openxmlformats.org/package/2006/relationships"><Relationship Type="http://schemas.openxmlformats.org/officeDocument/2006/relationships/image" Target="/xl/media/image12.jpeg" Id="rId1"/><Relationship Type="http://schemas.openxmlformats.org/officeDocument/2006/relationships/image" Target="/xl/media/image13.png" Id="rId2"/></Relationships>
</file>

<file path=xl/drawings/_rels/drawing8.xml.rels><Relationships xmlns="http://schemas.openxmlformats.org/package/2006/relationships"><Relationship Type="http://schemas.openxmlformats.org/officeDocument/2006/relationships/image" Target="/xl/media/image14.jpeg" Id="rId1"/></Relationships>
</file>

<file path=xl/drawings/_rels/drawing9.xml.rels><Relationships xmlns="http://schemas.openxmlformats.org/package/2006/relationships"><Relationship Type="http://schemas.openxmlformats.org/officeDocument/2006/relationships/image" Target="/xl/media/image15.jpeg" Id="rId1"/></Relationships>
</file>

<file path=xl/drawings/drawing1.xml><?xml version="1.0" encoding="utf-8"?>
<wsDr xmlns="http://schemas.openxmlformats.org/drawingml/2006/spreadsheetDrawing">
  <twoCellAnchor editAs="oneCell">
    <from>
      <col>2</col>
      <colOff>9525</colOff>
      <row>1</row>
      <rowOff>85725</rowOff>
    </from>
    <to>
      <col>3</col>
      <colOff>733110</colOff>
      <row>5</row>
      <rowOff>123525</rowOff>
    </to>
    <pic>
      <nvPicPr>
        <cNvPr id="3" name="Image 2"/>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495300" y="276225"/>
          <a:ext cx="1590360" cy="799800"/>
        </a:xfrm>
        <a:prstGeom xmlns:a="http://schemas.openxmlformats.org/drawingml/2006/main" prst="rect">
          <avLst/>
        </a:prstGeom>
        <a:ln xmlns:a="http://schemas.openxmlformats.org/drawingml/2006/main">
          <a:noFill/>
          <a:prstDash val="solid"/>
        </a:ln>
      </spPr>
    </pic>
    <clientData/>
  </twoCellAnchor>
</wsDr>
</file>

<file path=xl/drawings/drawing10.xml><?xml version="1.0" encoding="utf-8"?>
<wsDr xmlns="http://schemas.openxmlformats.org/drawingml/2006/spreadsheetDrawing">
  <twoCellAnchor editAs="oneCell">
    <from>
      <col>2</col>
      <colOff>9525</colOff>
      <row>1</row>
      <rowOff>85725</rowOff>
    </from>
    <to>
      <col>2</col>
      <colOff>1599885</colOff>
      <row>5</row>
      <rowOff>123525</rowOff>
    </to>
    <pic>
      <nvPicPr>
        <cNvPr id="3" name="Image 2"/>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495300" y="276225"/>
          <a:ext cx="1590360" cy="799800"/>
        </a:xfrm>
        <a:prstGeom xmlns:a="http://schemas.openxmlformats.org/drawingml/2006/main" prst="rect">
          <avLst/>
        </a:prstGeom>
        <a:ln xmlns:a="http://schemas.openxmlformats.org/drawingml/2006/main">
          <a:noFill/>
          <a:prstDash val="solid"/>
        </a:ln>
      </spPr>
    </pic>
    <clientData/>
  </twoCellAnchor>
</wsDr>
</file>

<file path=xl/drawings/drawing2.xml><?xml version="1.0" encoding="utf-8"?>
<wsDr xmlns="http://schemas.openxmlformats.org/drawingml/2006/spreadsheetDrawing">
  <twoCellAnchor editAs="oneCell">
    <from>
      <col>2</col>
      <colOff>7905</colOff>
      <row>1</row>
      <rowOff>86340</rowOff>
    </from>
    <to>
      <col>2</col>
      <colOff>1598265</colOff>
      <row>5</row>
      <rowOff>124140</rowOff>
    </to>
    <pic>
      <nvPicPr>
        <cNvPr id="3" name="Image 2"/>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493680" y="276840"/>
          <a:ext cx="1590360" cy="799800"/>
        </a:xfrm>
        <a:prstGeom xmlns:a="http://schemas.openxmlformats.org/drawingml/2006/main" prst="rect">
          <avLst/>
        </a:prstGeom>
        <a:ln xmlns:a="http://schemas.openxmlformats.org/drawingml/2006/main">
          <a:noFill/>
          <a:prstDash val="solid"/>
        </a:ln>
      </spPr>
    </pic>
    <clientData/>
  </twoCellAnchor>
  <twoCellAnchor editAs="oneCell">
    <from>
      <col>2</col>
      <colOff>1798830</colOff>
      <row>2</row>
      <rowOff>124470</rowOff>
    </from>
    <to>
      <col>2</col>
      <colOff>2065230</colOff>
      <row>4</row>
      <rowOff>105030</rowOff>
    </to>
    <pic>
      <nvPicPr>
        <cNvPr id="4" name="Image 1"/>
        <cNvPicPr/>
      </nvPicPr>
      <blipFill>
        <a:blip xmlns:a="http://schemas.openxmlformats.org/drawingml/2006/main" xmlns:r="http://schemas.openxmlformats.org/officeDocument/2006/relationships" r:embed="rId2"/>
        <a:stretch xmlns:a="http://schemas.openxmlformats.org/drawingml/2006/main">
          <a:fillRect/>
        </a:stretch>
      </blipFill>
      <spPr>
        <a:xfrm xmlns:a="http://schemas.openxmlformats.org/drawingml/2006/main">
          <a:off x="2284605" y="505470"/>
          <a:ext cx="266400" cy="361560"/>
        </a:xfrm>
        <a:prstGeom xmlns:a="http://schemas.openxmlformats.org/drawingml/2006/main" prst="rect">
          <avLst/>
        </a:prstGeom>
        <a:ln xmlns:a="http://schemas.openxmlformats.org/drawingml/2006/main">
          <a:noFill/>
          <a:prstDash val="solid"/>
        </a:ln>
      </spPr>
    </pic>
    <clientData/>
  </twoCellAnchor>
</wsDr>
</file>

<file path=xl/drawings/drawing3.xml><?xml version="1.0" encoding="utf-8"?>
<wsDr xmlns="http://schemas.openxmlformats.org/drawingml/2006/spreadsheetDrawing">
  <twoCellAnchor editAs="oneCell">
    <from>
      <col>2</col>
      <colOff>2112840</colOff>
      <row>2</row>
      <rowOff>360</rowOff>
    </from>
    <to>
      <col>3</col>
      <colOff>188280</colOff>
      <row>3</row>
      <rowOff>171360</rowOff>
    </to>
    <pic>
      <nvPicPr>
        <cNvPr id="6" name="Image 1"/>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2427120" y="381240"/>
          <a:ext cx="361440" cy="361440"/>
        </a:xfrm>
        <a:prstGeom xmlns:a="http://schemas.openxmlformats.org/drawingml/2006/main" prst="rect">
          <avLst/>
        </a:prstGeom>
        <a:ln xmlns:a="http://schemas.openxmlformats.org/drawingml/2006/main">
          <a:noFill/>
          <a:prstDash val="solid"/>
        </a:ln>
      </spPr>
    </pic>
    <clientData/>
  </twoCellAnchor>
  <twoCellAnchor editAs="oneCell">
    <from>
      <col>2</col>
      <colOff>9525</colOff>
      <row>1</row>
      <rowOff>85725</rowOff>
    </from>
    <to>
      <col>2</col>
      <colOff>1599885</colOff>
      <row>5</row>
      <rowOff>123525</rowOff>
    </to>
    <pic>
      <nvPicPr>
        <cNvPr id="7" name="Image 6"/>
        <cNvPicPr/>
      </nvPicPr>
      <blipFill>
        <a:blip xmlns:a="http://schemas.openxmlformats.org/drawingml/2006/main" xmlns:r="http://schemas.openxmlformats.org/officeDocument/2006/relationships" r:embed="rId2"/>
        <a:stretch xmlns:a="http://schemas.openxmlformats.org/drawingml/2006/main">
          <a:fillRect/>
        </a:stretch>
      </blipFill>
      <spPr>
        <a:xfrm xmlns:a="http://schemas.openxmlformats.org/drawingml/2006/main">
          <a:off x="495300" y="276225"/>
          <a:ext cx="1590360" cy="799800"/>
        </a:xfrm>
        <a:prstGeom xmlns:a="http://schemas.openxmlformats.org/drawingml/2006/main" prst="rect">
          <avLst/>
        </a:prstGeom>
        <a:ln xmlns:a="http://schemas.openxmlformats.org/drawingml/2006/main">
          <a:noFill/>
          <a:prstDash val="solid"/>
        </a:ln>
      </spPr>
    </pic>
    <clientData/>
  </twoCellAnchor>
</wsDr>
</file>

<file path=xl/drawings/drawing4.xml><?xml version="1.0" encoding="utf-8"?>
<wsDr xmlns="http://schemas.openxmlformats.org/drawingml/2006/spreadsheetDrawing">
  <twoCellAnchor editAs="oneCell">
    <from>
      <col>3</col>
      <colOff>227040</colOff>
      <row>2</row>
      <rowOff>95730</rowOff>
    </from>
    <to>
      <col>3</col>
      <colOff>493440</colOff>
      <row>4</row>
      <rowOff>76290</rowOff>
    </to>
    <pic>
      <nvPicPr>
        <cNvPr id="9" name="Image 1"/>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2493990" y="476730"/>
          <a:ext cx="266400" cy="361560"/>
        </a:xfrm>
        <a:prstGeom xmlns:a="http://schemas.openxmlformats.org/drawingml/2006/main" prst="rect">
          <avLst/>
        </a:prstGeom>
        <a:ln xmlns:a="http://schemas.openxmlformats.org/drawingml/2006/main">
          <a:noFill/>
          <a:prstDash val="solid"/>
        </a:ln>
      </spPr>
    </pic>
    <clientData/>
  </twoCellAnchor>
  <twoCellAnchor editAs="oneCell">
    <from>
      <col>2</col>
      <colOff>9525</colOff>
      <row>1</row>
      <rowOff>85725</rowOff>
    </from>
    <to>
      <col>2</col>
      <colOff>1586550</colOff>
      <row>5</row>
      <rowOff>123525</rowOff>
    </to>
    <pic>
      <nvPicPr>
        <cNvPr id="5" name="Image 4"/>
        <cNvPicPr/>
      </nvPicPr>
      <blipFill>
        <a:blip xmlns:a="http://schemas.openxmlformats.org/drawingml/2006/main" xmlns:r="http://schemas.openxmlformats.org/officeDocument/2006/relationships" r:embed="rId2"/>
        <a:stretch xmlns:a="http://schemas.openxmlformats.org/drawingml/2006/main">
          <a:fillRect/>
        </a:stretch>
      </blipFill>
      <spPr>
        <a:xfrm xmlns:a="http://schemas.openxmlformats.org/drawingml/2006/main">
          <a:off x="495300" y="276225"/>
          <a:ext cx="1590360" cy="799800"/>
        </a:xfrm>
        <a:prstGeom xmlns:a="http://schemas.openxmlformats.org/drawingml/2006/main" prst="rect">
          <avLst/>
        </a:prstGeom>
        <a:ln xmlns:a="http://schemas.openxmlformats.org/drawingml/2006/main">
          <a:noFill/>
          <a:prstDash val="solid"/>
        </a:ln>
      </spPr>
    </pic>
    <clientData/>
  </twoCellAnchor>
</wsDr>
</file>

<file path=xl/drawings/drawing5.xml><?xml version="1.0" encoding="utf-8"?>
<wsDr xmlns="http://schemas.openxmlformats.org/drawingml/2006/spreadsheetDrawing">
  <twoCellAnchor editAs="oneCell">
    <from>
      <col>2</col>
      <colOff>1655940</colOff>
      <row>2</row>
      <rowOff>134025</rowOff>
    </from>
    <to>
      <col>2</col>
      <colOff>1922340</colOff>
      <row>4</row>
      <rowOff>114585</rowOff>
    </to>
    <pic>
      <nvPicPr>
        <cNvPr id="11" name="Image 1"/>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2141715" y="515025"/>
          <a:ext cx="266400" cy="361560"/>
        </a:xfrm>
        <a:prstGeom xmlns:a="http://schemas.openxmlformats.org/drawingml/2006/main" prst="rect">
          <avLst/>
        </a:prstGeom>
        <a:ln xmlns:a="http://schemas.openxmlformats.org/drawingml/2006/main">
          <a:noFill/>
          <a:prstDash val="solid"/>
        </a:ln>
      </spPr>
    </pic>
    <clientData/>
  </twoCellAnchor>
  <twoCellAnchor editAs="oneCell">
    <from>
      <col>2</col>
      <colOff>9525</colOff>
      <row>1</row>
      <rowOff>85725</rowOff>
    </from>
    <to>
      <col>2</col>
      <colOff>1599885</colOff>
      <row>5</row>
      <rowOff>123525</rowOff>
    </to>
    <pic>
      <nvPicPr>
        <cNvPr id="4" name="Image 3"/>
        <cNvPicPr/>
      </nvPicPr>
      <blipFill>
        <a:blip xmlns:a="http://schemas.openxmlformats.org/drawingml/2006/main" xmlns:r="http://schemas.openxmlformats.org/officeDocument/2006/relationships" r:embed="rId2"/>
        <a:stretch xmlns:a="http://schemas.openxmlformats.org/drawingml/2006/main">
          <a:fillRect/>
        </a:stretch>
      </blipFill>
      <spPr>
        <a:xfrm xmlns:a="http://schemas.openxmlformats.org/drawingml/2006/main">
          <a:off x="495300" y="276225"/>
          <a:ext cx="1590360" cy="799800"/>
        </a:xfrm>
        <a:prstGeom xmlns:a="http://schemas.openxmlformats.org/drawingml/2006/main" prst="rect">
          <avLst/>
        </a:prstGeom>
        <a:ln xmlns:a="http://schemas.openxmlformats.org/drawingml/2006/main">
          <a:noFill/>
          <a:prstDash val="solid"/>
        </a:ln>
      </spPr>
    </pic>
    <clientData/>
  </twoCellAnchor>
</wsDr>
</file>

<file path=xl/drawings/drawing6.xml><?xml version="1.0" encoding="utf-8"?>
<wsDr xmlns="http://schemas.openxmlformats.org/drawingml/2006/spreadsheetDrawing">
  <twoCellAnchor editAs="oneCell">
    <from>
      <col>2</col>
      <colOff>1998720</colOff>
      <row>2</row>
      <rowOff>95760</rowOff>
    </from>
    <to>
      <col>2</col>
      <colOff>2265120</colOff>
      <row>4</row>
      <rowOff>76320</rowOff>
    </to>
    <pic>
      <nvPicPr>
        <cNvPr id="13" name="Image 1"/>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2503440" y="476640"/>
          <a:ext cx="266400" cy="361440"/>
        </a:xfrm>
        <a:prstGeom xmlns:a="http://schemas.openxmlformats.org/drawingml/2006/main" prst="rect">
          <avLst/>
        </a:prstGeom>
        <a:ln xmlns:a="http://schemas.openxmlformats.org/drawingml/2006/main">
          <a:noFill/>
          <a:prstDash val="solid"/>
        </a:ln>
      </spPr>
    </pic>
    <clientData/>
  </twoCellAnchor>
  <twoCellAnchor editAs="oneCell">
    <from>
      <col>2</col>
      <colOff>9525</colOff>
      <row>1</row>
      <rowOff>85725</rowOff>
    </from>
    <to>
      <col>2</col>
      <colOff>1599885</colOff>
      <row>5</row>
      <rowOff>123525</rowOff>
    </to>
    <pic>
      <nvPicPr>
        <cNvPr id="7" name="Image 6"/>
        <cNvPicPr/>
      </nvPicPr>
      <blipFill>
        <a:blip xmlns:a="http://schemas.openxmlformats.org/drawingml/2006/main" xmlns:r="http://schemas.openxmlformats.org/officeDocument/2006/relationships" r:embed="rId2"/>
        <a:stretch xmlns:a="http://schemas.openxmlformats.org/drawingml/2006/main">
          <a:fillRect/>
        </a:stretch>
      </blipFill>
      <spPr>
        <a:xfrm xmlns:a="http://schemas.openxmlformats.org/drawingml/2006/main">
          <a:off x="495300" y="276225"/>
          <a:ext cx="1590360" cy="799800"/>
        </a:xfrm>
        <a:prstGeom xmlns:a="http://schemas.openxmlformats.org/drawingml/2006/main" prst="rect">
          <avLst/>
        </a:prstGeom>
        <a:ln xmlns:a="http://schemas.openxmlformats.org/drawingml/2006/main">
          <a:noFill/>
          <a:prstDash val="solid"/>
        </a:ln>
      </spPr>
    </pic>
    <clientData/>
  </twoCellAnchor>
</wsDr>
</file>

<file path=xl/drawings/drawing7.xml><?xml version="1.0" encoding="utf-8"?>
<wsDr xmlns="http://schemas.openxmlformats.org/drawingml/2006/spreadsheetDrawing">
  <twoCellAnchor editAs="oneCell">
    <from>
      <col>2</col>
      <colOff>9525</colOff>
      <row>1</row>
      <rowOff>85725</rowOff>
    </from>
    <to>
      <col>3</col>
      <colOff>428310</colOff>
      <row>5</row>
      <rowOff>123525</rowOff>
    </to>
    <pic>
      <nvPicPr>
        <cNvPr id="4" name="Image 3"/>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495300" y="276225"/>
          <a:ext cx="1590360" cy="799800"/>
        </a:xfrm>
        <a:prstGeom xmlns:a="http://schemas.openxmlformats.org/drawingml/2006/main" prst="rect">
          <avLst/>
        </a:prstGeom>
        <a:ln xmlns:a="http://schemas.openxmlformats.org/drawingml/2006/main">
          <a:noFill/>
          <a:prstDash val="solid"/>
        </a:ln>
      </spPr>
    </pic>
    <clientData/>
  </twoCellAnchor>
  <twoCellAnchor editAs="oneCell">
    <from>
      <col>2</col>
      <colOff>876300</colOff>
      <row>7</row>
      <rowOff>0</rowOff>
    </from>
    <to>
      <col>10</col>
      <colOff>457391</colOff>
      <row>14</row>
      <rowOff>137410</rowOff>
    </to>
    <pic>
      <nvPicPr>
        <cNvPr id="5" name="Image 4"/>
        <cNvPicPr>
          <a:picLocks xmlns:a="http://schemas.openxmlformats.org/drawingml/2006/main" noChangeAspect="1"/>
        </cNvPicPr>
      </nvPicPr>
      <blipFill>
        <a:blip xmlns:a="http://schemas.openxmlformats.org/drawingml/2006/main" xmlns:r="http://schemas.openxmlformats.org/officeDocument/2006/relationships" r:embed="rId2"/>
        <a:stretch xmlns:a="http://schemas.openxmlformats.org/drawingml/2006/main">
          <a:fillRect/>
        </a:stretch>
      </blipFill>
      <spPr>
        <a:xfrm xmlns:a="http://schemas.openxmlformats.org/drawingml/2006/main">
          <a:off x="1422400" y="1333500"/>
          <a:ext cx="5702491" cy="1470910"/>
        </a:xfrm>
        <a:prstGeom xmlns:a="http://schemas.openxmlformats.org/drawingml/2006/main" prst="rect">
          <avLst/>
        </a:prstGeom>
        <a:ln xmlns:a="http://schemas.openxmlformats.org/drawingml/2006/main">
          <a:prstDash val="solid"/>
        </a:ln>
      </spPr>
    </pic>
    <clientData/>
  </twoCellAnchor>
</wsDr>
</file>

<file path=xl/drawings/drawing8.xml><?xml version="1.0" encoding="utf-8"?>
<wsDr xmlns="http://schemas.openxmlformats.org/drawingml/2006/spreadsheetDrawing">
  <twoCellAnchor editAs="oneCell">
    <from>
      <col>2</col>
      <colOff>9525</colOff>
      <row>1</row>
      <rowOff>85725</rowOff>
    </from>
    <to>
      <col>3</col>
      <colOff>847410</colOff>
      <row>5</row>
      <rowOff>123525</rowOff>
    </to>
    <pic>
      <nvPicPr>
        <cNvPr id="3" name="Image 2"/>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495300" y="276225"/>
          <a:ext cx="1590360" cy="799800"/>
        </a:xfrm>
        <a:prstGeom xmlns:a="http://schemas.openxmlformats.org/drawingml/2006/main" prst="rect">
          <avLst/>
        </a:prstGeom>
        <a:ln xmlns:a="http://schemas.openxmlformats.org/drawingml/2006/main">
          <a:noFill/>
          <a:prstDash val="solid"/>
        </a:ln>
      </spPr>
    </pic>
    <clientData/>
  </twoCellAnchor>
</wsDr>
</file>

<file path=xl/drawings/drawing9.xml><?xml version="1.0" encoding="utf-8"?>
<wsDr xmlns="http://schemas.openxmlformats.org/drawingml/2006/spreadsheetDrawing">
  <twoCellAnchor editAs="oneCell">
    <from>
      <col>2</col>
      <colOff>9525</colOff>
      <row>1</row>
      <rowOff>85725</rowOff>
    </from>
    <to>
      <col>4</col>
      <colOff>388305</colOff>
      <row>5</row>
      <rowOff>123525</rowOff>
    </to>
    <pic>
      <nvPicPr>
        <cNvPr id="3" name="Image 2"/>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495300" y="276225"/>
          <a:ext cx="1590360" cy="799800"/>
        </a:xfrm>
        <a:prstGeom xmlns:a="http://schemas.openxmlformats.org/drawingml/2006/main" prst="rect">
          <avLst/>
        </a:prstGeom>
        <a:ln xmlns:a="http://schemas.openxmlformats.org/drawingml/2006/main">
          <a:noFill/>
          <a:prstDash val="solid"/>
        </a:ln>
      </spPr>
    </pic>
    <clientData/>
  </twoCellAnchor>
</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_rels/sheet11.xml.rels><Relationships xmlns="http://schemas.openxmlformats.org/package/2006/relationships"><Relationship Type="http://schemas.openxmlformats.org/officeDocument/2006/relationships/drawing" Target="/xl/drawings/drawing10.xml" Id="rId1"/></Relationships>
</file>

<file path=xl/worksheets/_rels/sheet2.xml.rels><Relationships xmlns="http://schemas.openxmlformats.org/package/2006/relationships"><Relationship Type="http://schemas.openxmlformats.org/officeDocument/2006/relationships/drawing" Target="/xl/drawings/drawing2.xml" Id="rId1"/></Relationships>
</file>

<file path=xl/worksheets/_rels/sheet3.xml.rels><Relationships xmlns="http://schemas.openxmlformats.org/package/2006/relationships"><Relationship Type="http://schemas.openxmlformats.org/officeDocument/2006/relationships/drawing" Target="/xl/drawings/drawing3.xml" Id="rId1"/></Relationships>
</file>

<file path=xl/worksheets/_rels/sheet4.xml.rels><Relationships xmlns="http://schemas.openxmlformats.org/package/2006/relationships"><Relationship Type="http://schemas.openxmlformats.org/officeDocument/2006/relationships/drawing" Target="/xl/drawings/drawing4.xml" Id="rId1"/></Relationships>
</file>

<file path=xl/worksheets/_rels/sheet5.xml.rels><Relationships xmlns="http://schemas.openxmlformats.org/package/2006/relationships"><Relationship Type="http://schemas.openxmlformats.org/officeDocument/2006/relationships/hyperlink" Target="http://www.zen-avec-mon-assmat.com/prive-conges/" TargetMode="External" Id="rId1"/><Relationship Type="http://schemas.openxmlformats.org/officeDocument/2006/relationships/hyperlink" Target="http://www.zen-avec-mon-assmat.com/prive-conges/" TargetMode="External" Id="rId2"/><Relationship Type="http://schemas.openxmlformats.org/officeDocument/2006/relationships/drawing" Target="/xl/drawings/drawing5.xml" Id="rId3"/></Relationships>
</file>

<file path=xl/worksheets/_rels/sheet6.xml.rels><Relationships xmlns="http://schemas.openxmlformats.org/package/2006/relationships"><Relationship Type="http://schemas.openxmlformats.org/officeDocument/2006/relationships/drawing" Target="/xl/drawings/drawing6.xml" Id="rId1"/></Relationships>
</file>

<file path=xl/worksheets/_rels/sheet7.xml.rels><Relationships xmlns="http://schemas.openxmlformats.org/package/2006/relationships"><Relationship Type="http://schemas.openxmlformats.org/officeDocument/2006/relationships/hyperlink" Target="https://entreprise.francetravail.fr/accueil/particulieremployeur" TargetMode="External" Id="rId1"/><Relationship Type="http://schemas.openxmlformats.org/officeDocument/2006/relationships/drawing" Target="/xl/drawings/drawing7.xml" Id="rId2"/></Relationships>
</file>

<file path=xl/worksheets/_rels/sheet8.xml.rels><Relationships xmlns="http://schemas.openxmlformats.org/package/2006/relationships"><Relationship Type="http://schemas.openxmlformats.org/officeDocument/2006/relationships/drawing" Target="/xl/drawings/drawing8.xml" Id="rId1"/></Relationships>
</file>

<file path=xl/worksheets/_rels/sheet9.xml.rels><Relationships xmlns="http://schemas.openxmlformats.org/package/2006/relationships"><Relationship Type="http://schemas.openxmlformats.org/officeDocument/2006/relationships/drawing" Target="/xl/drawings/drawing9.xml" Id="rId1"/></Relationships>
</file>

<file path=xl/worksheets/sheet1.xml><?xml version="1.0" encoding="utf-8"?>
<worksheet xmlns="http://schemas.openxmlformats.org/spreadsheetml/2006/main">
  <sheetPr>
    <outlinePr summaryBelow="1" summaryRight="1"/>
    <pageSetUpPr/>
  </sheetPr>
  <dimension ref="A1:M34"/>
  <sheetViews>
    <sheetView showGridLines="0" showRowColHeaders="0" tabSelected="1" zoomScaleNormal="100" workbookViewId="0">
      <selection activeCell="C29" sqref="C29:G29"/>
    </sheetView>
  </sheetViews>
  <sheetFormatPr baseColWidth="10" defaultColWidth="9.1640625" defaultRowHeight="15"/>
  <cols>
    <col width="2.5" customWidth="1" style="367" min="1" max="1"/>
    <col width="4.6640625" customWidth="1" style="367" min="2" max="2"/>
    <col width="13" customWidth="1" style="367" min="3" max="3"/>
    <col width="16.5" customWidth="1" style="367" min="4" max="4"/>
    <col width="13" customWidth="1" style="367" min="5" max="5"/>
    <col width="16.5" customWidth="1" style="367" min="6" max="6"/>
    <col width="38.83203125" customWidth="1" style="367" min="7" max="7"/>
    <col width="4.5" customWidth="1" style="367" min="8" max="8"/>
    <col width="2.5" customWidth="1" style="367" min="9" max="9"/>
    <col width="10.5" customWidth="1" style="367" min="10" max="10"/>
    <col hidden="1" width="9.33203125" customWidth="1" style="367" min="11" max="11"/>
    <col hidden="1" width="18.5" customWidth="1" style="367" min="12" max="12"/>
    <col hidden="1" width="13.6640625" customWidth="1" style="367" min="13" max="13"/>
    <col width="56.5" customWidth="1" style="367" min="14" max="14"/>
    <col width="10.5" customWidth="1" style="367" min="15" max="17"/>
    <col width="11.1640625" customWidth="1" style="367" min="18" max="1025"/>
  </cols>
  <sheetData>
    <row r="1" ht="15.25" customHeight="1" s="367">
      <c r="A1" s="1" t="n"/>
      <c r="B1" s="1" t="n"/>
      <c r="C1" s="1" t="n"/>
      <c r="D1" s="1" t="n"/>
      <c r="E1" s="1" t="n"/>
      <c r="F1" s="1" t="n"/>
      <c r="G1" s="1" t="n"/>
      <c r="H1" s="1" t="n"/>
      <c r="I1" s="1" t="n"/>
    </row>
    <row r="2" ht="15.25" customHeight="1" s="367">
      <c r="A2" s="1" t="n"/>
      <c r="D2" s="373" t="inlineStr">
        <is>
          <t>Calculateur de solde de tout compte
contrat &lt;= 46 semaines (année incomplète)</t>
        </is>
      </c>
      <c r="I2" s="1" t="n"/>
    </row>
    <row r="3" ht="15.25" customHeight="1" s="367">
      <c r="A3" s="1" t="n"/>
      <c r="I3" s="3" t="n"/>
      <c r="J3" s="2" t="n"/>
    </row>
    <row r="4" ht="15.25" customHeight="1" s="367">
      <c r="A4" s="1" t="n"/>
      <c r="I4" s="1" t="n"/>
    </row>
    <row r="5" ht="15.25" customHeight="1" s="367">
      <c r="A5" s="1" t="n"/>
      <c r="D5" s="12" t="n"/>
      <c r="E5" s="374" t="inlineStr">
        <is>
          <t xml:space="preserve">Assistante Maternelle   </t>
        </is>
      </c>
      <c r="H5" s="2" t="n"/>
      <c r="I5" s="3" t="n"/>
      <c r="J5" s="2" t="n"/>
    </row>
    <row r="6" ht="15.25" customHeight="1" s="367">
      <c r="A6" s="1" t="n"/>
      <c r="D6" s="374" t="n"/>
      <c r="H6" s="2" t="n"/>
      <c r="I6" s="3" t="n"/>
      <c r="J6" s="2" t="n"/>
    </row>
    <row r="7" ht="15.25" customHeight="1" s="367">
      <c r="A7" s="1" t="n"/>
      <c r="B7" s="1" t="n"/>
      <c r="C7" s="4" t="inlineStr">
        <is>
          <t>Bienvenue</t>
        </is>
      </c>
      <c r="D7" s="4" t="n"/>
      <c r="E7" s="4" t="n"/>
      <c r="F7" s="4" t="n"/>
      <c r="G7" s="1" t="n"/>
      <c r="H7" s="1" t="n"/>
      <c r="I7" s="1" t="n"/>
    </row>
    <row r="8" ht="15.25" customHeight="1" s="367">
      <c r="A8" s="1" t="n"/>
      <c r="B8" s="136" t="n"/>
      <c r="C8" s="136" t="n"/>
      <c r="D8" s="136" t="n"/>
      <c r="E8" s="136" t="n"/>
      <c r="F8" s="136" t="n"/>
      <c r="G8" s="136" t="n"/>
      <c r="H8" s="136" t="n"/>
      <c r="I8" s="1" t="n"/>
    </row>
    <row r="9" ht="15.25" customHeight="1" s="367">
      <c r="A9" s="1" t="n"/>
      <c r="B9" s="136" t="n"/>
      <c r="C9" s="136" t="inlineStr">
        <is>
          <t>Ce simulateur va vous permettre de calculer le solde de tout compte (montant dû en fin de contrat)</t>
        </is>
      </c>
      <c r="D9" s="136" t="n"/>
      <c r="E9" s="136" t="n"/>
      <c r="F9" s="136" t="n"/>
      <c r="G9" s="136" t="n"/>
      <c r="H9" s="136" t="n"/>
      <c r="I9" s="1" t="n"/>
    </row>
    <row r="10" ht="15.25" customHeight="1" s="367">
      <c r="A10" s="1" t="n"/>
      <c r="B10" s="136" t="n"/>
      <c r="C10" s="136" t="inlineStr">
        <is>
          <t>d'une assistante maternelle en année INCOMPLETE.</t>
        </is>
      </c>
      <c r="D10" s="136" t="n"/>
      <c r="E10" s="136" t="n"/>
      <c r="F10" s="136" t="n"/>
      <c r="G10" s="136" t="n"/>
      <c r="H10" s="136" t="n"/>
      <c r="I10" s="1" t="n"/>
    </row>
    <row r="11" ht="15.25" customHeight="1" s="367">
      <c r="A11" s="1" t="n"/>
      <c r="B11" s="136" t="n"/>
      <c r="C11" s="371" t="inlineStr">
        <is>
          <t>Il vous facilite également le remplissage de l'attestation Pôle emploi et vous permet aussi de déterminer le coût de revient de ce solde de tout compte pour vous.</t>
        </is>
      </c>
      <c r="H11" s="136" t="n"/>
      <c r="I11" s="1" t="n"/>
    </row>
    <row r="12" ht="15.25" customHeight="1" s="367">
      <c r="A12" s="1" t="n"/>
      <c r="B12" s="136" t="n"/>
      <c r="H12" s="136" t="n"/>
      <c r="I12" s="1" t="n"/>
      <c r="K12" t="inlineStr">
        <is>
          <t>date_maj</t>
        </is>
      </c>
      <c r="L12" t="inlineStr">
        <is>
          <t>1er janvier 2026</t>
        </is>
      </c>
    </row>
    <row r="13" ht="15.25" customHeight="1" s="367">
      <c r="A13" s="1" t="n"/>
      <c r="B13" s="136" t="n"/>
      <c r="C13" s="371" t="n"/>
      <c r="D13" s="371" t="n"/>
      <c r="E13" s="371" t="n"/>
      <c r="F13" s="371" t="n"/>
      <c r="G13" s="371" t="n"/>
      <c r="H13" s="136" t="n"/>
      <c r="I13" s="1" t="n"/>
      <c r="K13" t="inlineStr">
        <is>
          <t>version</t>
        </is>
      </c>
      <c r="L13" t="inlineStr">
        <is>
          <t>date</t>
        </is>
      </c>
      <c r="M13" s="5" t="inlineStr">
        <is>
          <t>commentaire</t>
        </is>
      </c>
    </row>
    <row r="14" ht="15.25" customHeight="1" s="367">
      <c r="A14" s="1" t="n"/>
      <c r="B14" s="136" t="n"/>
      <c r="C14" s="137" t="inlineStr">
        <is>
          <t>Temps nécessaire au calcul de ce solde de tout compte : environ 45 minutes</t>
        </is>
      </c>
      <c r="D14" s="137" t="n"/>
      <c r="E14" s="137" t="n"/>
      <c r="F14" s="137" t="n"/>
      <c r="G14" s="136" t="n"/>
      <c r="H14" s="136" t="n"/>
      <c r="I14" s="1" t="n"/>
      <c r="K14" s="51" t="inlineStr">
        <is>
          <t>V1</t>
        </is>
      </c>
      <c r="L14" s="5" t="n">
        <v>45658</v>
      </c>
      <c r="M14" t="inlineStr">
        <is>
          <t>Initiale</t>
        </is>
      </c>
    </row>
    <row r="15" ht="15.25" customHeight="1" s="367">
      <c r="A15" s="1" t="n"/>
      <c r="B15" s="136" t="n"/>
      <c r="C15" s="136" t="n"/>
      <c r="D15" s="136" t="n"/>
      <c r="E15" s="136" t="n"/>
      <c r="F15" s="136" t="n"/>
      <c r="G15" s="117" t="n"/>
      <c r="H15" s="136" t="n"/>
      <c r="I15" s="1" t="n"/>
      <c r="K15" s="51" t="inlineStr">
        <is>
          <t>V2</t>
        </is>
      </c>
      <c r="L15" s="5" t="inlineStr">
        <is>
          <t>28/12/2024</t>
        </is>
      </c>
      <c r="M15" s="5" t="inlineStr">
        <is>
          <t>init 2025</t>
        </is>
      </c>
    </row>
    <row r="16" ht="15.25" customHeight="1" s="367">
      <c r="A16" s="1" t="n"/>
      <c r="B16" s="1" t="n"/>
      <c r="C16" s="4" t="inlineStr">
        <is>
          <t>Mode d'emploi</t>
        </is>
      </c>
      <c r="D16" s="4" t="n"/>
      <c r="E16" s="4" t="n"/>
      <c r="F16" s="4" t="n"/>
      <c r="G16" s="1" t="n"/>
      <c r="H16" s="1" t="n"/>
      <c r="I16" s="1" t="n"/>
      <c r="K16" s="51" t="inlineStr">
        <is>
          <t>V3</t>
        </is>
      </c>
      <c r="L16" s="5" t="inlineStr">
        <is>
          <t>13/01/2025</t>
        </is>
      </c>
      <c r="M16" s="5" t="inlineStr">
        <is>
          <t>update cmg</t>
        </is>
      </c>
    </row>
    <row r="17" ht="15.25" customHeight="1" s="367">
      <c r="A17" s="1" t="n"/>
      <c r="B17" s="7" t="n"/>
      <c r="C17" s="7" t="n"/>
      <c r="D17" s="7" t="n"/>
      <c r="E17" s="7" t="n"/>
      <c r="F17" s="7" t="n"/>
      <c r="G17" s="7" t="n"/>
      <c r="H17" s="7" t="n"/>
      <c r="I17" s="1" t="n"/>
      <c r="K17" s="51" t="inlineStr">
        <is>
          <t>V4</t>
        </is>
      </c>
      <c r="L17" s="5" t="inlineStr">
        <is>
          <t>20/03/2025</t>
        </is>
      </c>
      <c r="M17" s="151" t="inlineStr">
        <is>
          <t>augmentation SMC</t>
        </is>
      </c>
    </row>
    <row r="18" ht="15.25" customHeight="1" s="367">
      <c r="A18" s="1" t="n"/>
      <c r="B18" s="7" t="n"/>
      <c r="C18" s="372" t="inlineStr">
        <is>
          <t>3 étapes à chaque calcul de solde de tout compte  :</t>
        </is>
      </c>
      <c r="H18" s="366" t="n"/>
      <c r="I18" s="1" t="n"/>
      <c r="K18" s="51" t="inlineStr">
        <is>
          <t>V5</t>
        </is>
      </c>
      <c r="L18" s="5" t="inlineStr">
        <is>
          <t>04/04/2025</t>
        </is>
      </c>
      <c r="M18" t="inlineStr">
        <is>
          <t>augmentation cmg</t>
        </is>
      </c>
    </row>
    <row r="19" ht="15.25" customHeight="1" s="367">
      <c r="A19" s="1" t="n"/>
      <c r="B19" s="7" t="n"/>
      <c r="C19" s="366" t="inlineStr">
        <is>
          <t>1) renseignez les informations nécessaires au calcul du solde de tout compte dans l'onglet Données du contrat</t>
        </is>
      </c>
      <c r="H19" s="366" t="n"/>
      <c r="I19" s="1" t="n"/>
      <c r="K19" s="51" t="inlineStr">
        <is>
          <t>V6</t>
        </is>
      </c>
      <c r="L19" s="5" t="inlineStr">
        <is>
          <t>12/05/2025</t>
        </is>
      </c>
      <c r="M19" t="inlineStr">
        <is>
          <t>augm tx cot pat</t>
        </is>
      </c>
    </row>
    <row r="20" ht="15.25" customHeight="1" s="367">
      <c r="A20" s="1" t="n"/>
      <c r="B20" s="7" t="n"/>
      <c r="C20" s="366" t="inlineStr">
        <is>
          <t>2) remplissez les onglets Salaire du dernier mois, Régularisation et Congés payés afin de calculer les montants dus au titre de ces 3 éléments</t>
        </is>
      </c>
      <c r="H20" s="7" t="n"/>
      <c r="I20" s="1" t="n"/>
      <c r="K20" s="51" t="inlineStr">
        <is>
          <t>V7</t>
        </is>
      </c>
      <c r="L20" s="5" t="inlineStr">
        <is>
          <t>29/08/2025</t>
        </is>
      </c>
      <c r="M20" t="inlineStr">
        <is>
          <t>maj guide final</t>
        </is>
      </c>
    </row>
    <row r="21" ht="15.25" customHeight="1" s="367">
      <c r="A21" s="1" t="n"/>
      <c r="B21" s="7" t="n"/>
      <c r="H21" s="7" t="n"/>
      <c r="I21" s="1" t="n"/>
      <c r="K21" s="51" t="inlineStr">
        <is>
          <t>V8</t>
        </is>
      </c>
      <c r="L21" s="5" t="inlineStr">
        <is>
          <t>05/01/2026</t>
        </is>
      </c>
      <c r="M21" t="inlineStr">
        <is>
          <t>ny 26</t>
        </is>
      </c>
    </row>
    <row r="22" ht="15.25" customHeight="1" s="367">
      <c r="A22" s="1" t="n"/>
      <c r="B22" s="7" t="n"/>
      <c r="C22" s="366" t="inlineStr">
        <is>
          <t>3) rendez-vous sur l'onglet Solde de tout Compte afin d'y consulter le montant total du solde de tout compte</t>
        </is>
      </c>
      <c r="H22" s="7" t="n"/>
      <c r="I22" s="1" t="n"/>
      <c r="K22" s="51" t="n"/>
      <c r="L22" s="5" t="n"/>
    </row>
    <row r="23" ht="15.25" customHeight="1" s="367">
      <c r="A23" s="1" t="n"/>
      <c r="B23" s="7" t="n"/>
      <c r="C23" s="366" t="n"/>
      <c r="D23" s="366" t="n"/>
      <c r="E23" s="366" t="n"/>
      <c r="F23" s="366" t="n"/>
      <c r="G23" s="366" t="n"/>
      <c r="H23" s="7" t="n"/>
      <c r="I23" s="1" t="n"/>
      <c r="K23" s="51" t="n"/>
      <c r="L23" s="5" t="n"/>
    </row>
    <row r="24" ht="15.25" customHeight="1" s="367">
      <c r="A24" s="1" t="n"/>
      <c r="B24" s="370" t="inlineStr">
        <is>
          <t>Légende</t>
        </is>
      </c>
      <c r="D24" s="8" t="n"/>
      <c r="E24" s="8" t="n"/>
      <c r="F24" s="8" t="inlineStr">
        <is>
          <t>Et puis c'est tout !</t>
        </is>
      </c>
      <c r="G24" s="8" t="n"/>
      <c r="H24" s="7" t="n"/>
      <c r="I24" s="1" t="n"/>
      <c r="L24" s="220" t="n"/>
    </row>
    <row r="25" ht="15.25" customHeight="1" s="367">
      <c r="A25" s="1" t="n"/>
      <c r="D25" s="9" t="n"/>
      <c r="E25" s="9" t="n"/>
      <c r="F25" s="9" t="n"/>
      <c r="G25" s="9" t="n"/>
      <c r="H25" s="7" t="n"/>
      <c r="I25" s="1" t="n"/>
      <c r="L25" s="220" t="n"/>
    </row>
    <row r="26" ht="15.25" customHeight="1" s="367">
      <c r="A26" s="1" t="n"/>
      <c r="B26" s="7" t="n"/>
      <c r="C26" s="10" t="n"/>
      <c r="D26" s="11" t="inlineStr">
        <is>
          <t>Case à remplir</t>
        </is>
      </c>
      <c r="E26" s="135" t="n"/>
      <c r="F26" s="366" t="inlineStr">
        <is>
          <t>Case préremplie et modifiable</t>
        </is>
      </c>
      <c r="H26" s="7" t="n"/>
      <c r="I26" s="1" t="n"/>
      <c r="L26" s="220" t="n"/>
    </row>
    <row r="27" ht="15.25" customHeight="1" s="367">
      <c r="A27" s="1" t="n"/>
      <c r="B27" s="7" t="n"/>
      <c r="C27" s="9" t="n"/>
      <c r="D27" s="9" t="n"/>
      <c r="E27" s="9" t="n"/>
      <c r="F27" s="9" t="n"/>
      <c r="G27" s="9" t="n"/>
      <c r="H27" s="7" t="n"/>
      <c r="I27" s="1" t="n"/>
      <c r="L27" s="220" t="n"/>
    </row>
    <row r="28" ht="15.25" customHeight="1" s="367">
      <c r="A28" s="1" t="n"/>
      <c r="B28" s="7" t="n"/>
      <c r="C28" s="366" t="inlineStr">
        <is>
          <t>L'onglet France Travail vous permet ensuite de remplir plus aisément l'attestation France Travail.</t>
        </is>
      </c>
      <c r="H28" s="7" t="n"/>
      <c r="I28" s="1" t="n"/>
      <c r="L28" s="220" t="n"/>
    </row>
    <row r="29" ht="15.25" customHeight="1" s="367">
      <c r="A29" s="1" t="n"/>
      <c r="B29" s="7" t="n"/>
      <c r="C29" s="366" t="inlineStr">
        <is>
          <t>L'onglet Coût du STC vous permet de calculer le coût pour vous de ce solde de tout compte</t>
        </is>
      </c>
      <c r="H29" s="7" t="n"/>
      <c r="I29" s="1" t="n"/>
      <c r="L29" s="220" t="n"/>
    </row>
    <row r="30" ht="15.25" customHeight="1" s="367">
      <c r="A30" s="1" t="n"/>
      <c r="B30" s="7" t="n"/>
      <c r="C30" s="368" t="inlineStr">
        <is>
          <t>Vous pouvez consulter dans l'onglet Lisez moi les conditions d'utilisation de ce simulateur</t>
        </is>
      </c>
      <c r="H30" s="7" t="n"/>
      <c r="I30" s="1" t="n"/>
      <c r="L30" s="220" t="n"/>
    </row>
    <row r="31" ht="15.25" customHeight="1" s="367">
      <c r="A31" s="1" t="n"/>
      <c r="B31" s="369">
        <f>CONCATENATE("Copyright @ zen-avec-mon-assmat.com                                   Conforme à la législation en vigueur au ",date_maj)</f>
        <v/>
      </c>
      <c r="I31" s="1" t="n"/>
      <c r="L31" s="220" t="n"/>
    </row>
    <row r="32" ht="15.25" customHeight="1" s="367">
      <c r="A32" s="1" t="n"/>
      <c r="B32" s="1" t="n"/>
      <c r="C32" s="1" t="n"/>
      <c r="D32" s="1" t="n"/>
      <c r="E32" s="1" t="n"/>
      <c r="F32" s="1" t="n"/>
      <c r="G32" s="1" t="n"/>
      <c r="H32" s="1" t="n"/>
      <c r="I32" s="1" t="n"/>
      <c r="L32" s="220" t="n"/>
    </row>
    <row r="33">
      <c r="L33" s="220" t="n"/>
    </row>
    <row r="34">
      <c r="L34" s="220" t="n"/>
    </row>
  </sheetData>
  <sheetProtection selectLockedCells="1" selectUnlockedCells="1" algorithmName="SHA-512" sheet="1" objects="1" insertRows="1" insertHyperlinks="1" autoFilter="1" scenarios="1" formatColumns="1" deleteColumns="1" insertColumns="1" pivotTables="1" deleteRows="1" formatCells="1" saltValue="fjcOOfh85dRDEZPgg9M5qw==" formatRows="1" sort="1" spinCount="100000" password="DDB9" hashValue="iTWbDTk8p5mFmcMQk3RVyrmp2Oth7TrDr2iA+CM8q59H7dtgdBRngeNtqJDBw96gI92X+tc45oUqymedOZgvkw=="/>
  <mergeCells count="13">
    <mergeCell ref="C29:G29"/>
    <mergeCell ref="C30:G30"/>
    <mergeCell ref="C20:G21"/>
    <mergeCell ref="E5:G6"/>
    <mergeCell ref="C28:G28"/>
    <mergeCell ref="D2:H4"/>
    <mergeCell ref="C11:G12"/>
    <mergeCell ref="C19:G19"/>
    <mergeCell ref="B24:C25"/>
    <mergeCell ref="F26:G26"/>
    <mergeCell ref="C22:G22"/>
    <mergeCell ref="C18:G18"/>
    <mergeCell ref="B31:H31"/>
  </mergeCells>
  <pageMargins left="0.7" right="0.7" top="0.75" bottom="0.75" header="0.511805555555555" footer="0.511805555555555"/>
  <pageSetup orientation="portrait" paperSize="9" firstPageNumber="0" horizontalDpi="4294967293" verticalDpi="4294967293"/>
  <drawing xmlns:r="http://schemas.openxmlformats.org/officeDocument/2006/relationships" r:id="rId1"/>
</worksheet>
</file>

<file path=xl/worksheets/sheet10.xml><?xml version="1.0" encoding="utf-8"?>
<worksheet xmlns="http://schemas.openxmlformats.org/spreadsheetml/2006/main">
  <sheetPr>
    <outlinePr summaryBelow="1" summaryRight="1"/>
    <pageSetUpPr/>
  </sheetPr>
  <dimension ref="A1:A1"/>
  <sheetViews>
    <sheetView showRowColHeaders="0" zoomScaleNormal="100" workbookViewId="0">
      <selection activeCell="A1" sqref="A1"/>
    </sheetView>
  </sheetViews>
  <sheetFormatPr baseColWidth="10" defaultColWidth="9.1640625" defaultRowHeight="15"/>
  <cols>
    <col width="11.1640625" customWidth="1" style="388" min="1" max="1025"/>
  </cols>
  <sheetData/>
  <pageMargins left="0.75" right="0.75" top="1" bottom="1" header="0.511805555555555" footer="0.511805555555555"/>
  <pageSetup orientation="portrait" paperSize="0" scale="0" firstPageNumber="0" usePrinterDefaults="0" horizontalDpi="0" verticalDpi="0" copies="0"/>
</worksheet>
</file>

<file path=xl/worksheets/sheet11.xml><?xml version="1.0" encoding="utf-8"?>
<worksheet xmlns="http://schemas.openxmlformats.org/spreadsheetml/2006/main">
  <sheetPr>
    <outlinePr summaryBelow="1" summaryRight="1"/>
    <pageSetUpPr fitToPage="1"/>
  </sheetPr>
  <dimension ref="A1:F29"/>
  <sheetViews>
    <sheetView showGridLines="0" showRowColHeaders="0" zoomScaleNormal="100" workbookViewId="0">
      <selection activeCell="B29" sqref="B29"/>
    </sheetView>
  </sheetViews>
  <sheetFormatPr baseColWidth="10" defaultColWidth="9.1640625" defaultRowHeight="15"/>
  <cols>
    <col width="2.5" customWidth="1" style="367" min="1" max="1"/>
    <col width="4.6640625" customWidth="1" style="367" min="2" max="2"/>
    <col width="29.83203125" customWidth="1" style="367" min="3" max="3"/>
    <col width="63.33203125" customWidth="1" style="367" min="4" max="4"/>
    <col width="4.5" customWidth="1" style="367" min="5" max="5"/>
    <col width="2.5" customWidth="1" style="367" min="6" max="6"/>
    <col width="10.5" customWidth="1" style="367" min="7" max="7"/>
    <col width="11.1640625" customWidth="1" style="367" min="8" max="8"/>
    <col width="10.5" customWidth="1" style="367" min="9" max="1025"/>
  </cols>
  <sheetData>
    <row r="1" ht="15.25" customHeight="1" s="367">
      <c r="A1" s="1" t="n"/>
      <c r="B1" s="1" t="n"/>
      <c r="C1" s="1" t="n"/>
      <c r="D1" s="1" t="n"/>
      <c r="E1" s="1" t="n"/>
      <c r="F1" s="1" t="n"/>
    </row>
    <row r="2" ht="15.25" customHeight="1" s="367">
      <c r="A2" s="1" t="n"/>
      <c r="D2" s="374" t="inlineStr">
        <is>
          <t>Calculateur de calcul du solde de tout compte</t>
        </is>
      </c>
      <c r="F2" s="1" t="n"/>
    </row>
    <row r="3" ht="15.25" customHeight="1" s="367">
      <c r="A3" s="1" t="n"/>
      <c r="F3" s="1" t="n"/>
    </row>
    <row r="4" ht="15.25" customHeight="1" s="367">
      <c r="A4" s="1" t="n"/>
      <c r="D4" s="374" t="inlineStr">
        <is>
          <t>Année incomplète</t>
        </is>
      </c>
      <c r="F4" s="1" t="n"/>
    </row>
    <row r="5" ht="15.25" customHeight="1" s="367">
      <c r="A5" s="1" t="n"/>
      <c r="C5" s="2" t="n"/>
      <c r="F5" s="1" t="n"/>
    </row>
    <row r="6" ht="15.25" customHeight="1" s="367">
      <c r="A6" s="1" t="n"/>
      <c r="C6" s="2" t="n"/>
      <c r="D6" s="374" t="inlineStr">
        <is>
          <t>Assistante maternelle</t>
        </is>
      </c>
      <c r="F6" s="1" t="n"/>
    </row>
    <row r="7" ht="15.25" customHeight="1" s="367">
      <c r="A7" s="1" t="n"/>
      <c r="C7" s="2" t="n"/>
      <c r="F7" s="1" t="n"/>
    </row>
    <row r="8" ht="15.25" customHeight="1" s="367">
      <c r="A8" s="1" t="n"/>
      <c r="B8" s="1" t="n"/>
      <c r="C8" s="110" t="n"/>
      <c r="D8" s="1" t="n"/>
      <c r="E8" s="1" t="n"/>
      <c r="F8" s="1" t="n"/>
    </row>
    <row r="9" ht="15.25" customHeight="1" s="367">
      <c r="A9" s="1" t="n"/>
      <c r="B9" s="7" t="n"/>
      <c r="C9" s="7" t="n"/>
      <c r="D9" s="7" t="n"/>
      <c r="E9" s="7" t="n"/>
      <c r="F9" s="1" t="n"/>
    </row>
    <row r="10" ht="15.25" customHeight="1" s="367">
      <c r="A10" s="1" t="n"/>
      <c r="B10" s="7" t="n"/>
      <c r="C10" s="83" t="inlineStr">
        <is>
          <t>Le présent document est un simulateur de solde de tout compte d'assistante maternelle agréée</t>
        </is>
      </c>
      <c r="D10" s="7" t="n"/>
      <c r="E10" s="7" t="n"/>
      <c r="F10" s="1" t="n"/>
    </row>
    <row r="11" ht="15.25" customHeight="1" s="367">
      <c r="A11" s="1" t="n"/>
      <c r="B11" s="7" t="n"/>
      <c r="C11" s="83" t="n"/>
      <c r="D11" s="7" t="n"/>
      <c r="E11" s="7" t="n"/>
      <c r="F11" s="1" t="n"/>
    </row>
    <row r="12" ht="15.25" customHeight="1" s="367">
      <c r="A12" s="1" t="n"/>
      <c r="B12" s="7" t="n"/>
      <c r="C12" s="366" t="inlineStr">
        <is>
          <t>Zen avec mon assmat apporte un soin tout particulier à la qualité des produits et services qu’il vend et fait le maximum d’efforts pour que cet outil réponde au mieux aux besoins liés à l’emploi d’une assistante maternelle, tout en respectant le Code du Travail, la Convention Collective et les diverses jurisprudences dont il a connaissance.</t>
        </is>
      </c>
      <c r="E12" s="7" t="n"/>
      <c r="F12" s="1" t="n"/>
    </row>
    <row r="13" ht="15.25" customHeight="1" s="367">
      <c r="A13" s="1" t="n"/>
      <c r="B13" s="7" t="n"/>
      <c r="E13" s="7" t="n"/>
      <c r="F13" s="1" t="n"/>
    </row>
    <row r="14" ht="15.25" customHeight="1" s="367">
      <c r="A14" s="1" t="n"/>
      <c r="B14" s="7" t="n"/>
      <c r="E14" s="7" t="n"/>
      <c r="F14" s="1" t="n"/>
    </row>
    <row r="15" ht="15.25" customHeight="1" s="367">
      <c r="A15" s="1" t="n"/>
      <c r="B15" s="7" t="n"/>
      <c r="E15" s="7" t="n"/>
      <c r="F15" s="1" t="n"/>
    </row>
    <row r="16" ht="15.25" customHeight="1" s="367">
      <c r="A16" s="1" t="n"/>
      <c r="B16" s="7" t="n"/>
      <c r="C16" s="83" t="inlineStr">
        <is>
          <t>Ce document est régulièrement mis à jour de manière à répondre au mieux à ces différents points.</t>
        </is>
      </c>
      <c r="D16" s="7" t="n"/>
      <c r="E16" s="7" t="n"/>
      <c r="F16" s="1" t="n"/>
    </row>
    <row r="17" ht="15.25" customHeight="1" s="367">
      <c r="A17" s="1" t="n"/>
      <c r="B17" s="7" t="n"/>
      <c r="C17" s="366" t="inlineStr">
        <is>
          <t>Mais le Client est seul responsable de l’usage et des interprétations qu’il fait des informations et des données obtenues dans ce document. En particulier, le Client est seul responsable des actes et conseils qu’il en déduit et des informations et données qu’il émet dans le cadre de son rôle d’employeur.  
Zen avec mon assmat ne pourra en aucune façon être tenu pour responsable des conséquences de l’utilisation et de l’interprétation par le Client des informations issues de ce simulateur. En aucun cas, la recommandation ou l'information délivrée par Zen avec mon Assmat dans le cadre de ce document ne saurait être assimilée à du conseil juridique, mais tout au plus à un renseignement ou conseil informel. 
En aucune façon, le présent simulateur n'a pour but de se substituer aux conseils d'un professionnel compétent, méthode qui reste de loin la meilleure solution pour assurer sa sécurité juridique.</t>
        </is>
      </c>
      <c r="E17" s="7" t="n"/>
      <c r="F17" s="1" t="n"/>
    </row>
    <row r="18" ht="15.25" customHeight="1" s="367">
      <c r="A18" s="1" t="n"/>
      <c r="B18" s="7" t="n"/>
      <c r="E18" s="7" t="n"/>
      <c r="F18" s="1" t="n"/>
    </row>
    <row r="19" ht="15.25" customHeight="1" s="367">
      <c r="A19" s="1" t="n"/>
      <c r="B19" s="7" t="n"/>
      <c r="E19" s="7" t="n"/>
      <c r="F19" s="1" t="n"/>
    </row>
    <row r="20" ht="15.25" customHeight="1" s="367">
      <c r="A20" s="1" t="n"/>
      <c r="B20" s="7" t="n"/>
      <c r="E20" s="7" t="n"/>
      <c r="F20" s="1" t="n"/>
    </row>
    <row r="21" ht="15.25" customHeight="1" s="367">
      <c r="A21" s="1" t="n"/>
      <c r="B21" s="7" t="n"/>
      <c r="E21" s="7" t="n"/>
      <c r="F21" s="1" t="n"/>
    </row>
    <row r="22" ht="15.25" customHeight="1" s="367">
      <c r="A22" s="1" t="n"/>
      <c r="B22" s="7" t="n"/>
      <c r="E22" s="7" t="n"/>
      <c r="F22" s="1" t="n"/>
    </row>
    <row r="23" ht="15.25" customHeight="1" s="367">
      <c r="A23" s="1" t="n"/>
      <c r="B23" s="7" t="n"/>
      <c r="E23" s="7" t="n"/>
      <c r="F23" s="1" t="n"/>
    </row>
    <row r="24" ht="15.25" customHeight="1" s="367">
      <c r="A24" s="1" t="n"/>
      <c r="B24" s="7" t="n"/>
      <c r="E24" s="7" t="n"/>
      <c r="F24" s="1" t="n"/>
    </row>
    <row r="25" ht="15.25" customHeight="1" s="367">
      <c r="A25" s="1" t="n"/>
      <c r="B25" s="7" t="n"/>
      <c r="E25" s="7" t="n"/>
      <c r="F25" s="1" t="n"/>
    </row>
    <row r="26" ht="15.25" customHeight="1" s="367">
      <c r="A26" s="1" t="n"/>
      <c r="B26" s="7" t="n"/>
      <c r="C26" s="366" t="inlineStr">
        <is>
          <t>L'utilisation de ce simulateur vaut acceptation de cet avertissement.</t>
        </is>
      </c>
      <c r="E26" s="7" t="n"/>
      <c r="F26" s="1" t="n"/>
    </row>
    <row r="27" ht="15.25" customHeight="1" s="367">
      <c r="A27" s="1" t="n"/>
      <c r="B27" s="7" t="n"/>
      <c r="C27" s="7" t="n"/>
      <c r="D27" s="7" t="n"/>
      <c r="E27" s="7" t="n"/>
      <c r="F27" s="1" t="n"/>
    </row>
    <row r="28" ht="15.25" customHeight="1" s="367">
      <c r="A28" s="1" t="n"/>
      <c r="B28" s="369">
        <f>CONCATENATE("Copyright @ zen-avec-mon-assmat.com                                   Conforme à la législation en vigueur au ",date_maj)</f>
        <v/>
      </c>
      <c r="F28" s="1" t="n"/>
    </row>
    <row r="29" ht="15.25" customHeight="1" s="367">
      <c r="A29" s="1" t="n"/>
      <c r="B29" s="1" t="n"/>
      <c r="C29" s="1" t="n"/>
      <c r="D29" s="1" t="n"/>
      <c r="E29" s="1" t="n"/>
      <c r="F29" s="1" t="n"/>
    </row>
  </sheetData>
  <sheetProtection selectLockedCells="1" selectUnlockedCells="1" algorithmName="SHA-512" sheet="1" objects="1" insertRows="1" insertHyperlinks="1" autoFilter="1" scenarios="1" formatColumns="1" deleteColumns="1" insertColumns="1" pivotTables="1" deleteRows="1" formatCells="1" saltValue="Ujl1md09a3N1iekY/8DjJw==" formatRows="1" sort="1" spinCount="100000" hashValue="wuIudua+hehckeO4NIH4JfHVIYt1GIJ4cW3eEifXXekbdPa2GiMXsIrov60bt3xKEBH/yOt0+S9DGa2lbBLFKg=="/>
  <mergeCells count="7">
    <mergeCell ref="C17:D25"/>
    <mergeCell ref="D4:E5"/>
    <mergeCell ref="D2:E3"/>
    <mergeCell ref="C12:D15"/>
    <mergeCell ref="C26:D26"/>
    <mergeCell ref="D6:E7"/>
    <mergeCell ref="B28:E28"/>
  </mergeCells>
  <pageMargins left="0.7" right="0.7" top="0.75" bottom="0.75" header="0.511805555555555" footer="0.511805555555555"/>
  <pageSetup orientation="portrait" paperSize="0" scale="0" firstPageNumber="0" usePrinterDefaults="0" horizontalDpi="0" verticalDpi="0" copies="0"/>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Q34"/>
  <sheetViews>
    <sheetView showGridLines="0" showRowColHeaders="0" zoomScaleNormal="100" workbookViewId="0">
      <selection activeCell="F18" sqref="F18:H18"/>
    </sheetView>
  </sheetViews>
  <sheetFormatPr baseColWidth="10" defaultColWidth="9.1640625" defaultRowHeight="15"/>
  <cols>
    <col width="2.5" customWidth="1" style="367" min="1" max="1"/>
    <col width="4.6640625" customWidth="1" style="367" min="2" max="2"/>
    <col width="33.5" customWidth="1" style="367" min="3" max="3"/>
    <col width="17.33203125" customWidth="1" style="367" min="4" max="4"/>
    <col width="5.33203125" customWidth="1" style="367" min="5" max="5"/>
    <col width="12.6640625" customWidth="1" style="367" min="6" max="6"/>
    <col width="11.5" customWidth="1" style="367" min="7" max="7"/>
    <col width="8.1640625" customWidth="1" style="367" min="8" max="8"/>
    <col width="4.5" customWidth="1" style="367" min="9" max="9"/>
    <col width="2.5" customWidth="1" style="367" min="10" max="11"/>
    <col width="73" customWidth="1" style="367" min="12" max="12"/>
    <col hidden="1" width="9.1640625" customWidth="1" style="367" min="13" max="13"/>
    <col hidden="1" width="44.5" customWidth="1" style="367" min="14" max="14"/>
    <col hidden="1" width="10.6640625" customWidth="1" style="367" min="15" max="15"/>
    <col hidden="1" width="14.5" customWidth="1" style="367" min="16" max="16"/>
    <col hidden="1" width="9.1640625" customWidth="1" style="367" min="17" max="17"/>
    <col width="9.1640625" customWidth="1" style="367" min="18" max="18"/>
    <col width="11.1640625" customWidth="1" style="367" min="19" max="24"/>
    <col width="10.5" customWidth="1" style="367" min="25" max="1025"/>
  </cols>
  <sheetData>
    <row r="1" ht="15.25" customHeight="1" s="367">
      <c r="A1" s="1" t="n"/>
      <c r="B1" s="1" t="n"/>
      <c r="C1" s="1" t="n"/>
      <c r="D1" s="1" t="n"/>
      <c r="E1" s="1" t="n"/>
      <c r="F1" s="1" t="n"/>
      <c r="G1" s="1" t="n"/>
      <c r="H1" s="1" t="n"/>
      <c r="I1" s="1" t="n"/>
      <c r="J1" s="1" t="n"/>
    </row>
    <row r="2" ht="15.25" customHeight="1" s="367">
      <c r="A2" s="1" t="n"/>
      <c r="E2" s="12" t="n"/>
      <c r="F2" s="390" t="inlineStr">
        <is>
          <t>contrat &lt;= 46 semaines (année incomplète)</t>
        </is>
      </c>
      <c r="I2" s="12" t="n"/>
      <c r="J2" s="1" t="n"/>
      <c r="L2" s="383" t="inlineStr">
        <is>
          <t>Mode d'emploi</t>
        </is>
      </c>
      <c r="N2" s="13" t="inlineStr">
        <is>
          <t>données légales</t>
        </is>
      </c>
      <c r="O2" s="14" t="n"/>
      <c r="P2" s="15" t="inlineStr">
        <is>
          <t>Alsace Moselle</t>
        </is>
      </c>
    </row>
    <row r="3" ht="15.25" customHeight="1" s="367">
      <c r="A3" s="1" t="n"/>
      <c r="D3" s="16" t="inlineStr">
        <is>
          <t>1 action</t>
        </is>
      </c>
      <c r="E3" s="12" t="n"/>
      <c r="I3" s="12" t="n"/>
      <c r="J3" s="1" t="n"/>
      <c r="L3" s="384" t="n"/>
      <c r="N3" s="17" t="inlineStr">
        <is>
          <t>IE mini</t>
        </is>
      </c>
      <c r="O3" s="221" t="n">
        <v>2.65</v>
      </c>
      <c r="P3" s="18" t="n"/>
    </row>
    <row r="4" ht="15.25" customHeight="1" s="367">
      <c r="A4" s="1" t="n"/>
      <c r="D4" s="16" t="inlineStr">
        <is>
          <t>10 mn de préparation</t>
        </is>
      </c>
      <c r="E4" s="12" t="n"/>
      <c r="I4" s="12" t="n"/>
      <c r="J4" s="1" t="n"/>
      <c r="L4" s="385" t="inlineStr">
        <is>
          <t>Pour remplir cet onglet, avec les informations nécessaires au calcul du solde de tout compte :</t>
        </is>
      </c>
      <c r="N4" s="17" t="inlineStr">
        <is>
          <t>minimum garanti</t>
        </is>
      </c>
      <c r="O4" s="221" t="n">
        <v>4.25</v>
      </c>
      <c r="P4" s="18" t="n"/>
    </row>
    <row r="5" ht="15.25" customHeight="1" s="367">
      <c r="A5" s="1" t="n"/>
      <c r="D5" s="16" t="inlineStr">
        <is>
          <t>3 mn de remplissage</t>
        </is>
      </c>
      <c r="E5" s="12" t="n"/>
      <c r="F5" s="374" t="inlineStr">
        <is>
          <t>Données du contrat</t>
        </is>
      </c>
      <c r="I5" s="12" t="n"/>
      <c r="J5" s="1" t="n"/>
      <c r="L5" s="384" t="n"/>
      <c r="N5" s="17" t="inlineStr">
        <is>
          <t>IE pour 9 heures</t>
        </is>
      </c>
      <c r="O5" s="221" t="n">
        <v>3.83</v>
      </c>
      <c r="P5" s="270" t="n">
        <v>0.425</v>
      </c>
    </row>
    <row r="6" ht="15.25" customHeight="1" s="367">
      <c r="A6" s="1" t="n"/>
      <c r="D6" s="12" t="n"/>
      <c r="E6" s="12" t="n"/>
      <c r="I6" s="12" t="n"/>
      <c r="J6" s="1" t="n"/>
      <c r="K6" s="19" t="n"/>
      <c r="L6" s="386" t="inlineStr">
        <is>
          <t>a) calculez la date de fin de contrat avec le "calculateur des dates de fin de contrat" présent dans l'Espace privé</t>
        </is>
      </c>
      <c r="M6" s="19" t="n"/>
      <c r="N6" s="17" t="inlineStr">
        <is>
          <t>SMIC</t>
        </is>
      </c>
      <c r="O6" s="222" t="n">
        <v>12.02</v>
      </c>
      <c r="P6" s="155" t="n"/>
    </row>
    <row r="7" ht="15.25" customHeight="1" s="367">
      <c r="A7" s="1" t="n"/>
      <c r="B7" s="1" t="n"/>
      <c r="C7" s="1" t="n"/>
      <c r="D7" s="1" t="n"/>
      <c r="E7" s="20" t="n"/>
      <c r="F7" s="20" t="n"/>
      <c r="G7" s="20" t="n"/>
      <c r="H7" s="20" t="n"/>
      <c r="I7" s="20" t="n"/>
      <c r="J7" s="1" t="n"/>
      <c r="L7" s="384" t="n"/>
      <c r="N7" s="17" t="inlineStr">
        <is>
          <t>SMA</t>
        </is>
      </c>
      <c r="O7" s="221" t="n">
        <v>3.64</v>
      </c>
      <c r="P7" s="217" t="n"/>
      <c r="Q7" s="219">
        <f>IF(O14=1,O8,P8)</f>
        <v/>
      </c>
    </row>
    <row r="8" ht="15.25" customHeight="1" s="367">
      <c r="A8" s="1" t="n"/>
      <c r="B8" s="368" t="n"/>
      <c r="C8" s="368" t="inlineStr">
        <is>
          <t>Les informations de base du contrat de l'assistante maternelle sont à indiquer ici.</t>
        </is>
      </c>
      <c r="D8" s="368" t="n"/>
      <c r="E8" s="368" t="n"/>
      <c r="F8" s="22" t="n"/>
      <c r="G8" s="22" t="n"/>
      <c r="H8" s="22" t="n"/>
      <c r="I8" s="22" t="n"/>
      <c r="J8" s="1" t="n"/>
      <c r="L8" s="384" t="inlineStr">
        <is>
          <t>b) munissez-vous  :</t>
        </is>
      </c>
      <c r="N8" s="23" t="inlineStr">
        <is>
          <t>charges salariales</t>
        </is>
      </c>
      <c r="O8" s="114" t="n">
        <v>0.2188025</v>
      </c>
      <c r="P8" s="218" t="n">
        <v>0.2318025</v>
      </c>
    </row>
    <row r="9" ht="15.25" customHeight="1" s="367">
      <c r="A9" s="1" t="n"/>
      <c r="B9" s="368" t="n"/>
      <c r="C9" s="368" t="inlineStr">
        <is>
          <t>Elles seront reprises automatiquement dans les onglets suivants.</t>
        </is>
      </c>
      <c r="D9" s="368" t="n"/>
      <c r="E9" s="368" t="n"/>
      <c r="F9" s="22" t="n"/>
      <c r="G9" s="22" t="n"/>
      <c r="H9" s="22" t="n"/>
      <c r="I9" s="22" t="n"/>
      <c r="J9" s="1" t="n"/>
      <c r="L9" s="384" t="inlineStr">
        <is>
          <t>- du contrat de l'assistante maternelle</t>
        </is>
      </c>
      <c r="N9" s="5" t="n"/>
    </row>
    <row r="10" ht="15.25" customHeight="1" s="367">
      <c r="A10" s="1" t="n"/>
      <c r="B10" s="368" t="n"/>
      <c r="C10" s="368" t="inlineStr">
        <is>
          <t>Une fois cet onglet rempli, vous pouvez ensuite :</t>
        </is>
      </c>
      <c r="D10" s="368" t="n"/>
      <c r="E10" s="368" t="n"/>
      <c r="F10" s="22" t="n"/>
      <c r="G10" s="22" t="n"/>
      <c r="H10" s="22" t="n"/>
      <c r="I10" s="22" t="n"/>
      <c r="J10" s="1" t="n"/>
      <c r="L10" s="405" t="inlineStr">
        <is>
          <t>- des fiches de paie depuis le début du contrat</t>
        </is>
      </c>
      <c r="O10" s="5" t="n"/>
    </row>
    <row r="11" ht="15.25" customHeight="1" s="367">
      <c r="A11" s="1" t="n"/>
      <c r="B11" s="368" t="n"/>
      <c r="C11" s="387" t="inlineStr">
        <is>
          <t>- calculer le salaire du dernier mois (s'il est incomplet) dans l'onglet correspondant</t>
        </is>
      </c>
      <c r="D11" s="388" t="n"/>
      <c r="E11" s="388" t="n"/>
      <c r="F11" s="388" t="n"/>
      <c r="G11" s="388" t="n"/>
      <c r="H11" s="26" t="n"/>
      <c r="I11" s="22" t="n"/>
      <c r="J11" s="1" t="n"/>
      <c r="O11" s="5" t="n"/>
    </row>
    <row r="12" ht="15.25" customHeight="1" s="367">
      <c r="A12" s="1" t="n"/>
      <c r="B12" s="368" t="n"/>
      <c r="C12" s="389" t="inlineStr">
        <is>
          <t>- ou si le dernier mois est complet aller calculer le montant de la régularisation de salaire</t>
        </is>
      </c>
      <c r="D12" s="388" t="n"/>
      <c r="E12" s="388" t="n"/>
      <c r="F12" s="388" t="n"/>
      <c r="G12" s="388" t="n"/>
      <c r="H12" s="388" t="n"/>
      <c r="I12" s="22" t="n"/>
      <c r="J12" s="1" t="n"/>
      <c r="N12" s="27" t="inlineStr">
        <is>
          <t>Alsace Moselle (menu)</t>
        </is>
      </c>
      <c r="O12" s="15" t="n"/>
      <c r="Q12" s="28" t="n"/>
    </row>
    <row r="13" ht="15.25" customHeight="1" s="367">
      <c r="A13" s="1" t="n"/>
      <c r="B13" s="421" t="n"/>
      <c r="C13" s="378" t="n"/>
      <c r="G13" s="378" t="n"/>
      <c r="H13" s="378" t="n"/>
      <c r="I13" s="117" t="n"/>
      <c r="J13" s="1" t="n"/>
      <c r="N13" s="29" t="n"/>
      <c r="O13" s="18" t="n"/>
    </row>
    <row r="14" ht="15.25" customHeight="1" s="367">
      <c r="A14" s="1" t="n"/>
      <c r="B14" s="421" t="n"/>
      <c r="C14" s="377" t="inlineStr">
        <is>
          <t>Date d'embauche de l'assistante maternelle (1)</t>
        </is>
      </c>
      <c r="E14" s="117" t="n"/>
      <c r="F14" s="362">
        <f>DATE(YEAR(TODAY())-2,1,1)</f>
        <v/>
      </c>
      <c r="G14" s="378" t="n"/>
      <c r="H14" s="378" t="n"/>
      <c r="I14" s="117" t="n"/>
      <c r="J14" s="1" t="n"/>
      <c r="L14" t="inlineStr">
        <is>
          <t>(1) Indiquez la date d'embauche au format JJ/MM/AAAA</t>
        </is>
      </c>
      <c r="N14" s="17" t="inlineStr">
        <is>
          <t>Autre région qu'Alsace ou Moselle</t>
        </is>
      </c>
      <c r="O14" s="18">
        <f>IF(F18=N14,1,2)</f>
        <v/>
      </c>
    </row>
    <row r="15" ht="15.25" customHeight="1" s="367">
      <c r="A15" s="1" t="n"/>
      <c r="B15" s="421" t="n"/>
      <c r="C15" s="377" t="n"/>
      <c r="D15" s="377" t="inlineStr">
        <is>
          <t>Début du versement de la mensualisation (2)</t>
        </is>
      </c>
      <c r="E15" s="117" t="n"/>
      <c r="F15" s="363">
        <f>IF(DAY(F14)=1,F14,DATE(YEAR(F14),MONTH(F14)+1,1))</f>
        <v/>
      </c>
      <c r="G15" s="378" t="n"/>
      <c r="H15" s="378" t="n"/>
      <c r="I15" s="117" t="n"/>
      <c r="J15" s="1" t="n"/>
      <c r="L15" s="376" t="inlineStr">
        <is>
          <t>(2) Indiquez le premier jour du mois où vous avez versé un 1er salaire mensualisé complet</t>
        </is>
      </c>
      <c r="N15" s="23" t="inlineStr">
        <is>
          <t>Alsace - Moselle</t>
        </is>
      </c>
      <c r="O15" s="30" t="n"/>
    </row>
    <row r="16" ht="15.25" customHeight="1" s="367">
      <c r="A16" s="1" t="n"/>
      <c r="B16" s="421" t="n"/>
      <c r="C16" s="377" t="n"/>
      <c r="D16" s="377" t="inlineStr">
        <is>
          <t>Dernier jour (rémunéré) du contrat (3)</t>
        </is>
      </c>
      <c r="E16" s="117" t="n"/>
      <c r="F16" s="364">
        <f>TODAY()</f>
        <v/>
      </c>
      <c r="G16" s="378" t="n"/>
      <c r="H16" s="378" t="n"/>
      <c r="I16" s="117" t="n"/>
      <c r="J16" s="1" t="n"/>
    </row>
    <row r="17" ht="15.25" customHeight="1" s="367">
      <c r="A17" s="1" t="n"/>
      <c r="B17" s="421" t="n"/>
      <c r="C17" s="117" t="n"/>
      <c r="D17" s="117" t="n"/>
      <c r="E17" s="117" t="n"/>
      <c r="F17" s="117" t="n"/>
      <c r="G17" s="117" t="n"/>
      <c r="H17" s="117" t="n"/>
      <c r="I17" s="117" t="n"/>
      <c r="J17" s="1" t="n"/>
      <c r="L17" s="376" t="inlineStr">
        <is>
          <t>(3) A calculer avec le calculateur des dates de fin de contrat que vous trouverez dans l'espace privé Zen avec mon Assmat</t>
        </is>
      </c>
    </row>
    <row r="18" ht="15.25" customHeight="1" s="367">
      <c r="A18" s="1" t="n"/>
      <c r="B18" s="421" t="n"/>
      <c r="C18" s="379" t="inlineStr">
        <is>
          <t>Région où habite l'assistante maternelle (4)</t>
        </is>
      </c>
      <c r="E18" s="117" t="n"/>
      <c r="F18" s="380" t="inlineStr">
        <is>
          <t>Autre région qu'Alsace ou Moselle</t>
        </is>
      </c>
      <c r="G18" s="381" t="n"/>
      <c r="H18" s="382" t="n"/>
      <c r="I18" s="117" t="n"/>
      <c r="J18" s="1" t="n"/>
      <c r="O18" s="31">
        <f>IF(G29=0,G28,(G29-G26)/G26)</f>
        <v/>
      </c>
    </row>
    <row r="19" ht="15.25" customHeight="1" s="367">
      <c r="A19" s="1" t="n"/>
      <c r="B19" s="421" t="n"/>
      <c r="C19" s="379" t="n"/>
      <c r="D19" s="379" t="n"/>
      <c r="E19" s="379" t="n"/>
      <c r="F19" s="379" t="n"/>
      <c r="G19" s="379" t="n"/>
      <c r="H19" s="379" t="n"/>
      <c r="I19" s="117" t="n"/>
      <c r="J19" s="1" t="n"/>
      <c r="L19" s="376" t="inlineStr">
        <is>
          <t>(4) Ne changer que si l'assmat réside en Alsace ou Moselle, il y a des jours fériés supplémentaires et les cotisations sociales y sont plus élevées</t>
        </is>
      </c>
      <c r="N19" t="inlineStr">
        <is>
          <t>Taux de majoration des heures supplémentaires</t>
        </is>
      </c>
      <c r="O19" s="31">
        <f>MAX(IF(G29=0,G28,(G29-G26)/G26),0.1)</f>
        <v/>
      </c>
      <c r="Q19" s="271" t="n"/>
    </row>
    <row r="20" ht="15.25" customHeight="1" s="367">
      <c r="A20" s="1" t="n"/>
      <c r="B20" s="421" t="n"/>
      <c r="C20" s="379" t="n"/>
      <c r="D20" s="379" t="inlineStr">
        <is>
          <t>Horaire hebdomadaire habituel (5)</t>
        </is>
      </c>
      <c r="E20" s="379" t="n"/>
      <c r="F20" s="132" t="n">
        <v>40</v>
      </c>
      <c r="G20" s="379" t="n"/>
      <c r="H20" s="379" t="n"/>
      <c r="I20" s="117" t="n"/>
      <c r="J20" s="1" t="n"/>
      <c r="N20" t="inlineStr">
        <is>
          <t>Taux de majoration des heures complémentaires</t>
        </is>
      </c>
      <c r="O20" s="211">
        <f>MAX(1,1+G31)</f>
        <v/>
      </c>
      <c r="Q20" s="271" t="n"/>
    </row>
    <row r="21" ht="15.25" customHeight="1" s="367">
      <c r="A21" s="1" t="n"/>
      <c r="B21" s="421" t="n"/>
      <c r="C21" s="379" t="n"/>
      <c r="D21" s="379" t="inlineStr">
        <is>
          <t>Nombre de semaines travaillées par an</t>
        </is>
      </c>
      <c r="E21" s="379" t="n"/>
      <c r="F21" s="133" t="n">
        <v>46</v>
      </c>
      <c r="G21" s="379" t="n"/>
      <c r="H21" s="379" t="n"/>
      <c r="I21" s="117" t="n"/>
      <c r="J21" s="1" t="n"/>
      <c r="Q21" s="271" t="n"/>
    </row>
    <row r="22" ht="15.25" customHeight="1" s="367">
      <c r="A22" s="1" t="n"/>
      <c r="B22" s="421" t="n"/>
      <c r="C22" s="379" t="n"/>
      <c r="D22" s="379" t="inlineStr">
        <is>
          <t>Nombre de jours travaillés par semaine (5)</t>
        </is>
      </c>
      <c r="E22" s="379" t="n"/>
      <c r="F22" s="133" t="n">
        <v>5</v>
      </c>
      <c r="G22" s="379" t="n"/>
      <c r="H22" s="379" t="n"/>
      <c r="I22" s="117" t="n"/>
      <c r="J22" s="1" t="n"/>
      <c r="L22" t="inlineStr">
        <is>
          <t>(5) Si l'enfant est gardé sur deux rythmes, indiquez le plus fréquent</t>
        </is>
      </c>
    </row>
    <row r="23" ht="15.25" customHeight="1" s="367">
      <c r="A23" s="1" t="n"/>
      <c r="B23" s="421" t="n"/>
      <c r="C23" s="379" t="n"/>
      <c r="D23" s="379" t="inlineStr">
        <is>
          <t>Horaire mensualisé rémunéré</t>
        </is>
      </c>
      <c r="E23" s="379" t="n"/>
      <c r="F23" s="272">
        <f>+F20*F21/12</f>
        <v/>
      </c>
      <c r="G23" s="379" t="n"/>
      <c r="H23" s="379" t="n"/>
      <c r="I23" s="117" t="n"/>
      <c r="J23" s="1" t="n"/>
      <c r="L23" s="32" t="n"/>
    </row>
    <row r="24" ht="15.25" customHeight="1" s="367">
      <c r="A24" s="1" t="n"/>
      <c r="B24" s="421" t="n"/>
      <c r="C24" s="379" t="n"/>
      <c r="D24" s="379" t="n"/>
      <c r="E24" s="379" t="n"/>
      <c r="F24" s="379" t="n"/>
      <c r="G24" s="379" t="n"/>
      <c r="H24" s="379" t="n"/>
      <c r="I24" s="117" t="n"/>
      <c r="J24" s="1" t="n"/>
      <c r="K24" s="19" t="n"/>
      <c r="L24" s="19">
        <f>IF(ROUND(F26,2)&lt;VALUE(O7), CONCATENATE("ATTENTION : le salaire horaire brut minimum est de ",O7),"")</f>
        <v/>
      </c>
      <c r="M24" s="19" t="n"/>
    </row>
    <row r="25" ht="15.25" customHeight="1" s="367">
      <c r="A25" s="1" t="n"/>
      <c r="B25" s="421" t="n"/>
      <c r="C25" s="117" t="n"/>
      <c r="D25" s="117" t="n"/>
      <c r="E25" s="117" t="n"/>
      <c r="F25" s="119" t="inlineStr">
        <is>
          <t>BRUT</t>
        </is>
      </c>
      <c r="G25" s="119" t="inlineStr">
        <is>
          <t>NET</t>
        </is>
      </c>
      <c r="H25" s="119" t="n"/>
      <c r="I25" s="117" t="n"/>
      <c r="J25" s="1" t="n"/>
      <c r="L25" s="68" t="n"/>
    </row>
    <row r="26" ht="15.25" customHeight="1" s="367">
      <c r="A26" s="1" t="n"/>
      <c r="B26" s="421" t="n"/>
      <c r="C26" s="377" t="inlineStr">
        <is>
          <t>Salaire horaire habituel</t>
        </is>
      </c>
      <c r="E26" s="377" t="n"/>
      <c r="F26" s="273">
        <f>G26/(1-taux_cotis)</f>
        <v/>
      </c>
      <c r="G26" s="223" t="n">
        <v>2.84</v>
      </c>
      <c r="H26" s="119" t="n"/>
      <c r="I26" s="117" t="n"/>
      <c r="J26" s="1" t="n"/>
      <c r="L26" s="68" t="n"/>
      <c r="N26" s="68" t="n"/>
      <c r="O26" s="34" t="n"/>
    </row>
    <row r="27" ht="15.25" customHeight="1" s="367">
      <c r="A27" s="1" t="n"/>
      <c r="B27" s="421" t="n"/>
      <c r="C27" s="377" t="inlineStr">
        <is>
          <t>Salaire mensualisé habituel</t>
        </is>
      </c>
      <c r="E27" s="377" t="n"/>
      <c r="F27" s="273">
        <f>G27/(1-taux_cotis)</f>
        <v/>
      </c>
      <c r="G27" s="224">
        <f>F23*G26</f>
        <v/>
      </c>
      <c r="H27" s="119" t="n"/>
      <c r="I27" s="131" t="n"/>
      <c r="J27" s="1" t="n"/>
      <c r="L27" s="68">
        <f>IF(O18&lt;0.1,"les heures supplémentaires doivent être majorées d'au moins 10%","")</f>
        <v/>
      </c>
      <c r="N27" s="68" t="n"/>
    </row>
    <row r="28" ht="15.25" customHeight="1" s="367">
      <c r="A28" s="1" t="n"/>
      <c r="B28" s="421" t="n"/>
      <c r="C28" s="377" t="inlineStr">
        <is>
          <t>Taux de majoration des heures supplémentaires (6)</t>
        </is>
      </c>
      <c r="E28" s="377" t="n"/>
      <c r="F28" s="273" t="n"/>
      <c r="G28" s="134" t="n">
        <v>0.1</v>
      </c>
      <c r="H28" s="119" t="n"/>
      <c r="I28" s="117" t="n"/>
      <c r="J28" s="1" t="n"/>
      <c r="L28" s="376" t="inlineStr">
        <is>
          <t>(6) Si vous ne connaissez que le taux horaire des heures majorées, remplissez la case du dessous. Si vous n'avez jamais d'heures majorées, ne remplissez pas la case.</t>
        </is>
      </c>
    </row>
    <row r="29" ht="15.25" customHeight="1" s="367">
      <c r="A29" s="1" t="n"/>
      <c r="B29" s="421" t="n"/>
      <c r="C29" s="377" t="inlineStr">
        <is>
          <t>OU salaire horaire des heures supplémentaires</t>
        </is>
      </c>
      <c r="E29" s="377" t="n"/>
      <c r="F29" s="273">
        <f>G29/(1-taux_cotis)</f>
        <v/>
      </c>
      <c r="G29" s="225" t="n">
        <v>0</v>
      </c>
      <c r="H29" s="119" t="n"/>
      <c r="I29" s="117" t="n"/>
      <c r="J29" s="1" t="n"/>
    </row>
    <row r="30" ht="15.25" customHeight="1" s="367">
      <c r="A30" s="1" t="n"/>
      <c r="B30" s="421" t="n"/>
      <c r="C30" s="377" t="n"/>
      <c r="D30" s="421" t="n"/>
      <c r="E30" s="377" t="n"/>
      <c r="F30" s="273" t="n"/>
      <c r="G30" s="273" t="n"/>
      <c r="H30" s="119" t="n"/>
      <c r="I30" s="117" t="n"/>
      <c r="J30" s="1" t="n"/>
    </row>
    <row r="31" ht="15.25" customHeight="1" s="367">
      <c r="A31" s="1" t="n"/>
      <c r="B31" s="421" t="n"/>
      <c r="C31" s="377" t="inlineStr">
        <is>
          <t>Taux de majoration des heures complémentaires (7)</t>
        </is>
      </c>
      <c r="E31" s="377" t="n"/>
      <c r="F31" s="273" t="n"/>
      <c r="G31" s="210" t="n">
        <v>0.1</v>
      </c>
      <c r="H31" s="119" t="n"/>
      <c r="I31" s="117" t="n"/>
      <c r="J31" s="1" t="n"/>
    </row>
    <row r="32" ht="15.25" customHeight="1" s="367">
      <c r="A32" s="1" t="n"/>
      <c r="B32" s="421" t="n"/>
      <c r="C32" s="409" t="n"/>
      <c r="D32" s="409" t="n"/>
      <c r="E32" s="409" t="n"/>
      <c r="F32" s="421" t="n"/>
      <c r="G32" s="117" t="n"/>
      <c r="H32" s="117" t="n"/>
      <c r="I32" s="117" t="n"/>
      <c r="J32" s="1" t="n"/>
      <c r="L32" t="inlineStr">
        <is>
          <t>(7) Majoration possible des heures complémentaires si elle est prévue au contrat</t>
        </is>
      </c>
    </row>
    <row r="33">
      <c r="A33" s="1" t="n"/>
      <c r="B33" s="375">
        <f>CONCATENATE("Copyright @ zen-avec-mon-assmat.com             Conforme à la législation en vigueur au ",date_maj)</f>
        <v/>
      </c>
      <c r="J33" s="1" t="n"/>
    </row>
    <row r="34">
      <c r="A34" s="1" t="n"/>
      <c r="B34" s="1" t="n"/>
      <c r="C34" s="1" t="n"/>
      <c r="D34" s="1" t="n"/>
      <c r="E34" s="1" t="n"/>
      <c r="F34" s="1" t="n"/>
      <c r="G34" s="1" t="n"/>
      <c r="H34" s="1" t="n"/>
      <c r="I34" s="1" t="n"/>
      <c r="J34" s="1" t="n"/>
    </row>
  </sheetData>
  <sheetProtection selectLockedCells="1" selectUnlockedCells="0" algorithmName="SHA-512" sheet="1" objects="1" insertRows="1" insertHyperlinks="1" autoFilter="1" scenarios="1" formatColumns="1" deleteColumns="1" insertColumns="1" pivotTables="1" deleteRows="1" formatCells="1" saltValue="pHmeNy6KLctvSW3KCNGs5Q==" formatRows="1" sort="1" spinCount="100000" password="DDB9" hashValue="XvV/cdLK7CXxj54lTxEfa//cMlv1QmKsvVf5tHxlBK+MPDf31uU7YtlMjo3zM86v0vDkkUFNnhT1vs5JTmzfPw=="/>
  <mergeCells count="21">
    <mergeCell ref="F18:H18"/>
    <mergeCell ref="C14:D14"/>
    <mergeCell ref="C12:H12"/>
    <mergeCell ref="F2:H4"/>
    <mergeCell ref="L15:L16"/>
    <mergeCell ref="C26:D26"/>
    <mergeCell ref="C13:F13"/>
    <mergeCell ref="C29:D29"/>
    <mergeCell ref="L4:L5"/>
    <mergeCell ref="C31:D31"/>
    <mergeCell ref="F5:H6"/>
    <mergeCell ref="C27:D27"/>
    <mergeCell ref="C11:G11"/>
    <mergeCell ref="L6:L7"/>
    <mergeCell ref="L28:L30"/>
    <mergeCell ref="L2:L3"/>
    <mergeCell ref="B33:I33"/>
    <mergeCell ref="L17:L18"/>
    <mergeCell ref="C28:D28"/>
    <mergeCell ref="C18:D18"/>
    <mergeCell ref="L19:L20"/>
  </mergeCells>
  <dataValidations count="1">
    <dataValidation sqref="F18" showDropDown="0" showInputMessage="1" showErrorMessage="1" allowBlank="1" type="list">
      <formula1>l_region</formula1>
      <formula2>0</formula2>
    </dataValidation>
  </dataValidations>
  <hyperlinks>
    <hyperlink ref="C11" location="'Salaire du dernier mois '!A1" display="- calculer le salaire du dernier mois (s'il est incomplet) dans l'onglet correspondant"/>
    <hyperlink ref="C12" location="Régularisation!A1" display="- ou si le dernier mois est complet aller calculer le montant de la régularisation de salaire "/>
  </hyperlinks>
  <pageMargins left="0.7" right="0.7" top="0.75" bottom="0.75" header="0.511805555555555" footer="0.511805555555555"/>
  <pageSetup orientation="portrait" paperSize="9" firstPageNumber="0"/>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AB55"/>
  <sheetViews>
    <sheetView showGridLines="0" showRowColHeaders="0" zoomScaleNormal="100" workbookViewId="0">
      <selection activeCell="F13" sqref="F13:H13"/>
    </sheetView>
  </sheetViews>
  <sheetFormatPr baseColWidth="10" defaultColWidth="9.1640625" defaultRowHeight="15"/>
  <cols>
    <col width="2.5" customWidth="1" style="367" min="1" max="1"/>
    <col width="4.6640625" customWidth="1" style="367" min="2" max="2"/>
    <col width="32.5" customWidth="1" style="367" min="3" max="3"/>
    <col width="32.1640625" customWidth="1" style="367" min="4" max="4"/>
    <col width="2.5" customWidth="1" style="367" min="5" max="5"/>
    <col width="12.5" customWidth="1" style="367" min="6" max="7"/>
    <col width="11" customWidth="1" style="367" min="8" max="8"/>
    <col width="4.5" customWidth="1" style="394" min="9" max="9"/>
    <col width="2.5" customWidth="1" style="367" min="10" max="10"/>
    <col width="3.5" customWidth="1" style="367" min="11" max="11"/>
    <col width="62.1640625" customWidth="1" style="367" min="12" max="12"/>
    <col hidden="1" width="9.1640625" customWidth="1" style="367" min="13" max="13"/>
    <col hidden="1" width="40.33203125" customWidth="1" style="367" min="14" max="14"/>
    <col hidden="1" width="19.33203125" customWidth="1" style="367" min="15" max="15"/>
    <col hidden="1" width="10.6640625" customWidth="1" style="367" min="16" max="16"/>
    <col hidden="1" width="9.1640625" customWidth="1" style="367" min="17" max="17"/>
    <col hidden="1" width="27.5" customWidth="1" style="367" min="18" max="18"/>
    <col hidden="1" width="13" customWidth="1" style="367" min="19" max="19"/>
    <col hidden="1" width="7.1640625" customWidth="1" style="367" min="20" max="20"/>
    <col hidden="1" width="27.83203125" customWidth="1" style="367" min="21" max="21"/>
    <col hidden="1" width="9.1640625" customWidth="1" style="394" min="22" max="24"/>
    <col hidden="1" width="17.5" customWidth="1" style="367" min="25" max="25"/>
    <col hidden="1" width="16.6640625" customWidth="1" style="367" min="26" max="26"/>
    <col hidden="1" width="9.1640625" customWidth="1" style="367" min="27" max="28"/>
    <col width="11.1640625" customWidth="1" style="367" min="29" max="30"/>
    <col width="10.5" customWidth="1" style="367" min="31" max="1025"/>
  </cols>
  <sheetData>
    <row r="1" ht="15.25" customHeight="1" s="367">
      <c r="A1" s="1" t="n"/>
      <c r="B1" s="1" t="n"/>
      <c r="C1" s="1" t="n"/>
      <c r="D1" s="1" t="n"/>
      <c r="E1" s="1" t="n"/>
      <c r="F1" s="1" t="n"/>
      <c r="G1" s="1" t="n"/>
      <c r="H1" s="1" t="n"/>
      <c r="I1" s="35" t="n"/>
      <c r="J1" s="1" t="n"/>
    </row>
    <row r="2" ht="15.25" customHeight="1" s="367">
      <c r="A2" s="1" t="n"/>
      <c r="E2" s="390" t="inlineStr">
        <is>
          <t>contrat &lt;= 46 semaines (année incomplète)</t>
        </is>
      </c>
      <c r="J2" s="1" t="n"/>
      <c r="L2" s="383" t="inlineStr">
        <is>
          <t>Mode d'emploi</t>
        </is>
      </c>
      <c r="N2" s="5" t="n"/>
      <c r="O2">
        <f>MONTH(F13)</f>
        <v/>
      </c>
      <c r="P2">
        <f>YEAR(F13)</f>
        <v/>
      </c>
    </row>
    <row r="3" ht="15.25" customHeight="1" s="367">
      <c r="A3" s="1" t="n"/>
      <c r="D3" s="16" t="inlineStr">
        <is>
          <t>1 action</t>
        </is>
      </c>
      <c r="J3" s="1" t="n"/>
      <c r="L3" s="384" t="n"/>
      <c r="R3" s="394" t="n"/>
      <c r="S3" s="394" t="n"/>
      <c r="T3" s="394">
        <f>P2</f>
        <v/>
      </c>
      <c r="U3" s="394" t="n"/>
      <c r="W3" s="36" t="inlineStr">
        <is>
          <t>H normalement</t>
        </is>
      </c>
      <c r="X3" s="36" t="inlineStr">
        <is>
          <t>H travaillées</t>
        </is>
      </c>
      <c r="Y3" s="274" t="inlineStr">
        <is>
          <t>Majoration des heures sup</t>
        </is>
      </c>
      <c r="Z3" s="274" t="inlineStr">
        <is>
          <t>Heures sup</t>
        </is>
      </c>
      <c r="AA3" t="inlineStr">
        <is>
          <t>Indemnités</t>
        </is>
      </c>
      <c r="AB3" t="inlineStr">
        <is>
          <t>Frais de</t>
        </is>
      </c>
    </row>
    <row r="4" ht="15.25" customHeight="1" s="367">
      <c r="A4" s="1" t="n"/>
      <c r="D4" s="16" t="inlineStr">
        <is>
          <t>5 mn de remplissage</t>
        </is>
      </c>
      <c r="J4" s="1" t="n"/>
      <c r="L4" s="385" t="inlineStr">
        <is>
          <t>Pour remplir cet onglet, avec les informations nécessaires au calcul du salaire du dernier mois (calcul de la Cour de Cassation),</t>
        </is>
      </c>
      <c r="N4" t="inlineStr">
        <is>
          <t>Jour du premier jour d'absence (en chiffres)</t>
        </is>
      </c>
      <c r="O4" s="37" t="inlineStr">
        <is>
          <t>1er jour du mois</t>
        </is>
      </c>
      <c r="P4" s="38">
        <f>DATE(YEAR(F13),MONTH(F13),1)</f>
        <v/>
      </c>
      <c r="R4" s="28" t="inlineStr">
        <is>
          <t>Jours fériés</t>
        </is>
      </c>
      <c r="S4" s="28" t="inlineStr">
        <is>
          <t>Jours du mois</t>
        </is>
      </c>
      <c r="T4" s="28" t="inlineStr">
        <is>
          <t>N° Jour</t>
        </is>
      </c>
      <c r="U4" s="394" t="n"/>
      <c r="V4" s="28" t="inlineStr">
        <is>
          <t>férié</t>
        </is>
      </c>
      <c r="W4" s="36" t="inlineStr">
        <is>
          <t>rémunérées</t>
        </is>
      </c>
      <c r="X4" s="36" t="inlineStr">
        <is>
          <t>+ jours fériés</t>
        </is>
      </c>
      <c r="Y4" s="274" t="inlineStr">
        <is>
          <t>normales</t>
        </is>
      </c>
      <c r="Z4" s="274" t="inlineStr">
        <is>
          <t>normales</t>
        </is>
      </c>
      <c r="AA4" t="inlineStr">
        <is>
          <t>d'entretien</t>
        </is>
      </c>
      <c r="AB4" t="inlineStr">
        <is>
          <t>repas</t>
        </is>
      </c>
    </row>
    <row r="5" ht="15.25" customHeight="1" s="367">
      <c r="A5" s="1" t="n"/>
      <c r="E5" s="374" t="inlineStr">
        <is>
          <t>Salaire du dernier mois</t>
        </is>
      </c>
      <c r="J5" s="1" t="n"/>
      <c r="L5" s="384" t="n"/>
      <c r="N5" t="inlineStr">
        <is>
          <t>Nb de lundis entre les deux dates</t>
        </is>
      </c>
      <c r="O5" s="17" t="inlineStr">
        <is>
          <t>Dernier jour du mois</t>
        </is>
      </c>
      <c r="P5" s="39">
        <f>DATE(YEAR(F13),MONTH(F13)+1,0)</f>
        <v/>
      </c>
      <c r="R5" s="275">
        <f>DATE(T3,1,1)</f>
        <v/>
      </c>
      <c r="S5" s="5">
        <f>DATE(YEAR($F$13),MONTH($F$13),1)</f>
        <v/>
      </c>
      <c r="T5">
        <f>WEEKDAY(S5)</f>
        <v/>
      </c>
      <c r="U5" s="5">
        <f>LOOKUP(S5,$R$5:$R$19)</f>
        <v/>
      </c>
      <c r="V5" s="28">
        <f>IF(S5=U5,1,0)*$O$16</f>
        <v/>
      </c>
      <c r="W5" s="36">
        <f>LOOKUP(T5,$N$20:$O$26)</f>
        <v/>
      </c>
      <c r="X5" s="40">
        <f>IF(S5&gt;$F$13,0,W5)</f>
        <v/>
      </c>
      <c r="Y5" s="152">
        <f>IF($T$5=6,IF($S$5&lt;$F$13,$P$13*'Données du contrat'!$O$19,0),0)</f>
        <v/>
      </c>
      <c r="Z5" s="152">
        <f>IF('Données du contrat'!$O$19=0,0,Y5/'Données du contrat'!$O$19)</f>
        <v/>
      </c>
      <c r="AA5" s="40">
        <f>IF(OR(S5&gt;$F$13,$V$5=1),0,VLOOKUP($T$5,$N$20:$P$26,3,0))</f>
        <v/>
      </c>
      <c r="AB5" s="40">
        <f>IF(OR(S5&gt;$F$13,V5=1),0,VLOOKUP(T5,$N$20:$Q$26,4,0))</f>
        <v/>
      </c>
    </row>
    <row r="6" ht="15.25" customHeight="1" s="367">
      <c r="A6" s="1" t="n"/>
      <c r="D6" s="12" t="n"/>
      <c r="J6" s="1" t="n"/>
      <c r="K6" s="19" t="n"/>
      <c r="L6" s="384" t="inlineStr">
        <is>
          <t>munissez-vous  :</t>
        </is>
      </c>
      <c r="M6" s="19" t="n"/>
      <c r="N6" t="inlineStr">
        <is>
          <t>Nb de mardis</t>
        </is>
      </c>
      <c r="O6" s="29" t="inlineStr">
        <is>
          <t>Dans le mois</t>
        </is>
      </c>
      <c r="P6" s="41" t="n"/>
      <c r="Q6" s="28" t="n"/>
      <c r="R6" s="276">
        <f>IF('Données du contrat'!O14=2,R7-2,R5)</f>
        <v/>
      </c>
      <c r="S6" s="5">
        <f>DATE(YEAR($F$13),MONTH($F$13),DAY(S5+1))</f>
        <v/>
      </c>
      <c r="T6">
        <f>WEEKDAY(S6)</f>
        <v/>
      </c>
      <c r="U6" s="5">
        <f>LOOKUP(S6,$R$5:$R$19)</f>
        <v/>
      </c>
      <c r="V6" s="28">
        <f>IF(S6=U6,1,0)*$O$16</f>
        <v/>
      </c>
      <c r="W6" s="36">
        <f>LOOKUP(T6,$N$20:$O$26)</f>
        <v/>
      </c>
      <c r="X6" s="40">
        <f>IF(S6&gt;$F$13,0,W6)</f>
        <v/>
      </c>
      <c r="Y6" s="152">
        <f>IF($T$6=6,IF($S$6&lt;$F$13,$P$13*'Données du contrat'!$O$19,0),0)</f>
        <v/>
      </c>
      <c r="Z6" s="152">
        <f>IF('Données du contrat'!$O$19=0,0,Y6/'Données du contrat'!$O$19)</f>
        <v/>
      </c>
      <c r="AA6" s="40">
        <f>IF(OR(S6&gt;$F$13,V6=1),0,VLOOKUP(T6,$N$20:$P$26,3,0))</f>
        <v/>
      </c>
      <c r="AB6" s="40">
        <f>IF(OR(S6&gt;$F$13,V6=1),0,VLOOKUP(T6,$N$20:$Q$26,4,0))</f>
        <v/>
      </c>
    </row>
    <row r="7" ht="15.25" customHeight="1" s="367">
      <c r="A7" s="1" t="n"/>
      <c r="B7" s="1" t="n"/>
      <c r="C7" s="1" t="n"/>
      <c r="D7" s="1" t="n"/>
      <c r="E7" s="1" t="n"/>
      <c r="F7" s="1" t="n"/>
      <c r="G7" s="1" t="n"/>
      <c r="H7" s="1" t="n"/>
      <c r="I7" s="1" t="n"/>
      <c r="J7" s="1" t="n"/>
      <c r="L7" s="384" t="inlineStr">
        <is>
          <t>- du contrat de l'assistante maternelle</t>
        </is>
      </c>
      <c r="N7" t="inlineStr">
        <is>
          <t>Nb de mercredis</t>
        </is>
      </c>
      <c r="O7" s="17" t="inlineStr">
        <is>
          <t>Nb jours calendaires</t>
        </is>
      </c>
      <c r="P7" s="42">
        <f>P5-P4+1</f>
        <v/>
      </c>
      <c r="R7" s="275">
        <f>ROUND(DATE(T3,4,MOD(234-11*MOD(T3,19),30))/7,)*7-6</f>
        <v/>
      </c>
      <c r="S7" s="5">
        <f>DATE(YEAR($F$13),MONTH($F$13),DAY(S6+1))</f>
        <v/>
      </c>
      <c r="T7">
        <f>WEEKDAY(S7)</f>
        <v/>
      </c>
      <c r="U7" s="5">
        <f>LOOKUP(S7,$R$5:$R$19)</f>
        <v/>
      </c>
      <c r="V7" s="28">
        <f>IF(S7=U7,1,0)*$O$16</f>
        <v/>
      </c>
      <c r="W7" s="36">
        <f>LOOKUP(T7,$N$20:$O$26)</f>
        <v/>
      </c>
      <c r="X7" s="40">
        <f>IF(S7&gt;$F$13,0,W7)</f>
        <v/>
      </c>
      <c r="Y7" s="152">
        <f>IF($T$7=6,IF($S$7&lt;$F$13,$P$13*'Données du contrat'!$O$19,0),0)</f>
        <v/>
      </c>
      <c r="Z7" s="152">
        <f>IF('Données du contrat'!$O$19=0,0,Y7/'Données du contrat'!$O$19)</f>
        <v/>
      </c>
      <c r="AA7" s="40">
        <f>IF(OR(S7&gt;$F$13,V7=1),0,VLOOKUP(T7,$N$20:$P$26,3,0))</f>
        <v/>
      </c>
      <c r="AB7" s="40">
        <f>IF(OR(S7&gt;$F$13,V7=1),0,VLOOKUP(T7,$N$20:$Q$26,4,0))</f>
        <v/>
      </c>
    </row>
    <row r="8" ht="15.25" customHeight="1" s="367">
      <c r="A8" s="1" t="n"/>
      <c r="B8" s="368" t="n"/>
      <c r="C8" s="403" t="inlineStr">
        <is>
          <t>Cet onglet vous permet de calculer le salaire du dernier mois travaillé s'il est incomplet (fin en cours de mois), selon la méthode de la Cour de Cassation (reporté automatiquement dans le Solde de tout compte)</t>
        </is>
      </c>
      <c r="J8" s="1" t="n"/>
      <c r="L8" s="404" t="inlineStr">
        <is>
          <t>- du détail des horaires effectués par l'assmat lors de son dernier mois de travail</t>
        </is>
      </c>
      <c r="N8" t="inlineStr">
        <is>
          <t>Nb de jeudis</t>
        </is>
      </c>
      <c r="O8" s="17" t="n"/>
      <c r="P8" s="42" t="n"/>
      <c r="R8" s="275">
        <f>R7+1</f>
        <v/>
      </c>
      <c r="S8" s="5">
        <f>DATE(YEAR($F$13),MONTH($F$13),DAY(S7+1))</f>
        <v/>
      </c>
      <c r="T8">
        <f>WEEKDAY(S8)</f>
        <v/>
      </c>
      <c r="U8" s="5">
        <f>LOOKUP(S8,$R$5:$R$19)</f>
        <v/>
      </c>
      <c r="V8" s="28">
        <f>IF(S8=U8,1,0)*$O$16</f>
        <v/>
      </c>
      <c r="W8" s="36">
        <f>LOOKUP(T8,$N$20:$O$26)</f>
        <v/>
      </c>
      <c r="X8" s="40">
        <f>IF(S8&gt;$F$13,0,W8)</f>
        <v/>
      </c>
      <c r="Y8" s="152">
        <f>IF($T$8=6,IF($S$8&lt;$F$13,$P$13*'Données du contrat'!$O$19,0),0)</f>
        <v/>
      </c>
      <c r="Z8" s="152">
        <f>IF('Données du contrat'!$O$19=0,0,Y8/'Données du contrat'!$O$19)</f>
        <v/>
      </c>
      <c r="AA8" s="40">
        <f>IF(OR(S8&gt;$F$13,V8=1),0,VLOOKUP(T8,$N$20:$P$26,3,0))</f>
        <v/>
      </c>
      <c r="AB8" s="40">
        <f>IF(OR(S8&gt;$F$13,V8=1),0,VLOOKUP(T8,$N$20:$Q$26,4,0))</f>
        <v/>
      </c>
    </row>
    <row r="9">
      <c r="A9" s="1" t="n"/>
      <c r="B9" s="368" t="n"/>
      <c r="J9" s="1" t="n"/>
      <c r="L9" s="405" t="n"/>
      <c r="N9" t="inlineStr">
        <is>
          <t>Nb de vendredis</t>
        </is>
      </c>
      <c r="O9" s="17" t="n"/>
      <c r="P9" s="43" t="n"/>
      <c r="R9" s="275">
        <f>DATE(T3,5,1)</f>
        <v/>
      </c>
      <c r="S9" s="5">
        <f>DATE(YEAR($F$13),MONTH($F$13),DAY(S8+1))</f>
        <v/>
      </c>
      <c r="T9">
        <f>WEEKDAY(S9)</f>
        <v/>
      </c>
      <c r="U9" s="5">
        <f>LOOKUP(S9,$R$5:$R$19)</f>
        <v/>
      </c>
      <c r="V9" s="28">
        <f>IF(S9=U9,1,0)*$O$16</f>
        <v/>
      </c>
      <c r="W9" s="36">
        <f>LOOKUP(T9,$N$20:$O$26)</f>
        <v/>
      </c>
      <c r="X9" s="40">
        <f>IF(S9&gt;$F$13,0,W9)</f>
        <v/>
      </c>
      <c r="Y9" s="152">
        <f>IF($T$9=6,IF($S$9&lt;$F$13,$P$13*'Données du contrat'!$O19,0),0)</f>
        <v/>
      </c>
      <c r="Z9" s="152">
        <f>IF('Données du contrat'!$O$19=0,0,Y9/'Données du contrat'!$O$19)</f>
        <v/>
      </c>
      <c r="AA9" s="40">
        <f>IF(OR(S9&gt;$F$13,V9=1),0,VLOOKUP(T9,$N$20:$P$26,3,0))</f>
        <v/>
      </c>
      <c r="AB9" s="40">
        <f>IF(OR(S9&gt;$F$13,V9=1),0,VLOOKUP(T9,$N$20:$Q$26,4,0))</f>
        <v/>
      </c>
    </row>
    <row r="10" ht="15.25" customFormat="1" customHeight="1" s="400">
      <c r="A10" s="44" t="n"/>
      <c r="B10" s="45" t="n"/>
      <c r="C10" s="399" t="inlineStr">
        <is>
          <t>Si vous utilisez la fiche de paie Zen avec mon Assmat vous pouvez sauter ce calcul et reporter directement le montant du salaire du dernier mois dans l'onglet Solde de tout compte</t>
        </is>
      </c>
      <c r="J10" s="44" t="n"/>
      <c r="O10" s="46" t="n"/>
      <c r="P10" s="47" t="n"/>
      <c r="R10" s="275">
        <f>DATE(T3,5,8)</f>
        <v/>
      </c>
      <c r="S10" s="48">
        <f>DATE(YEAR($F$13),MONTH($F$13),DAY(S9+1))</f>
        <v/>
      </c>
      <c r="T10" s="400">
        <f>WEEKDAY(S10)</f>
        <v/>
      </c>
      <c r="U10" s="48">
        <f>LOOKUP(S10,$R$5:$R$19)</f>
        <v/>
      </c>
      <c r="V10" s="28">
        <f>IF(S10=U10,1,0)*$O$16</f>
        <v/>
      </c>
      <c r="W10" s="49">
        <f>LOOKUP(T10,$N$20:$O$26)</f>
        <v/>
      </c>
      <c r="X10" s="50">
        <f>IF(S10&gt;$F$13,0,W10)</f>
        <v/>
      </c>
      <c r="Y10" s="153">
        <f>IF($T$10=6,IF($S$10&lt;$F$13,$P$13*'Données du contrat'!$O$19,0),0)</f>
        <v/>
      </c>
      <c r="Z10" s="153">
        <f>IF('Données du contrat'!$O$19=0,0,Y10/'Données du contrat'!$O$19)</f>
        <v/>
      </c>
      <c r="AA10" s="50">
        <f>IF(OR(S10&gt;$F$13,V10=1),0,VLOOKUP(T10,$N$20:$P$26,3,0))</f>
        <v/>
      </c>
      <c r="AB10" s="40">
        <f>IF(OR(S10&gt;$F$13,V10=1),0,VLOOKUP(T10,$N$20:$Q$26,4,0))</f>
        <v/>
      </c>
    </row>
    <row r="11" ht="15.25" customHeight="1" s="367">
      <c r="A11" s="1" t="n"/>
      <c r="B11" s="368" t="n"/>
      <c r="J11" s="1" t="n"/>
      <c r="N11" s="271" t="n"/>
      <c r="R11" s="275">
        <f>R7+39</f>
        <v/>
      </c>
      <c r="S11" s="5">
        <f>DATE(YEAR($F$13),MONTH($F$13),DAY(S10+1))</f>
        <v/>
      </c>
      <c r="T11">
        <f>WEEKDAY(S11)</f>
        <v/>
      </c>
      <c r="U11" s="5">
        <f>LOOKUP(S11,$R$5:$R$19)</f>
        <v/>
      </c>
      <c r="V11" s="28">
        <f>IF(S11=U11,1,0)*$O$16</f>
        <v/>
      </c>
      <c r="W11" s="36">
        <f>LOOKUP(T11,$N$20:$O$26)</f>
        <v/>
      </c>
      <c r="X11" s="40">
        <f>IF(S11&gt;$F$13,0,W11)</f>
        <v/>
      </c>
      <c r="Y11" s="152">
        <f>IF(T11=6,IF(S11&lt;$F$13,$P$13*'Données du contrat'!$O$19,0),0)</f>
        <v/>
      </c>
      <c r="Z11" s="152">
        <f>IF('Données du contrat'!$O$19=0,0,Y11/'Données du contrat'!$O$19)</f>
        <v/>
      </c>
      <c r="AA11" s="40">
        <f>IF(OR(S11&gt;$F$13,V11=1),0,VLOOKUP(T11,$N$20:$P$26,3,0))</f>
        <v/>
      </c>
      <c r="AB11" s="40">
        <f>IF(OR(S11&gt;$F$13,V11=1),0,VLOOKUP(T11,$N$20:$Q$26,4,0))</f>
        <v/>
      </c>
    </row>
    <row r="12" ht="15.25" customHeight="1" s="367">
      <c r="A12" s="1" t="n"/>
      <c r="B12" s="421" t="n"/>
      <c r="C12" s="378" t="n"/>
      <c r="G12" s="378" t="n"/>
      <c r="H12" s="378" t="n"/>
      <c r="I12" s="378" t="n"/>
      <c r="J12" s="1" t="n"/>
      <c r="R12" s="275">
        <f>R7+49</f>
        <v/>
      </c>
      <c r="S12" s="5">
        <f>DATE(YEAR($F$13),MONTH($F$13),DAY(S11+1))</f>
        <v/>
      </c>
      <c r="T12">
        <f>WEEKDAY(S12)</f>
        <v/>
      </c>
      <c r="U12" s="5">
        <f>LOOKUP(S12,$R$5:$R$19)</f>
        <v/>
      </c>
      <c r="V12" s="28">
        <f>IF(S12=U12,1,0)*$O$16</f>
        <v/>
      </c>
      <c r="W12" s="36">
        <f>LOOKUP(T12,$N$20:$O$26)</f>
        <v/>
      </c>
      <c r="X12" s="40">
        <f>IF(S12&gt;$F$13,0,W12)</f>
        <v/>
      </c>
      <c r="Y12" s="152">
        <f>IF(T12=6,IF(S12&lt;$F$13,$P$13*'Données du contrat'!$O$19,0),0)</f>
        <v/>
      </c>
      <c r="Z12" s="152">
        <f>IF('Données du contrat'!$O$19=0,0,Y12/'Données du contrat'!$O$19)</f>
        <v/>
      </c>
      <c r="AA12" s="40">
        <f>IF(OR(S12&gt;$F$13,V12=1),0,VLOOKUP(T12,$N$20:$P$26,3,0))</f>
        <v/>
      </c>
      <c r="AB12" s="40">
        <f>IF(OR(S12&gt;$F$13,V12=1),0,VLOOKUP(T12,$N$20:$Q$26,4,0))</f>
        <v/>
      </c>
    </row>
    <row r="13" ht="15.25" customHeight="1" s="367">
      <c r="A13" s="1" t="n"/>
      <c r="B13" s="421" t="n"/>
      <c r="C13" s="377" t="inlineStr">
        <is>
          <t>Dernier jour rémunéré du contrat (1)</t>
        </is>
      </c>
      <c r="E13" s="117" t="n"/>
      <c r="F13" s="401">
        <f>'Données du contrat'!F16</f>
        <v/>
      </c>
      <c r="G13" s="381" t="n"/>
      <c r="H13" s="382" t="n"/>
      <c r="I13" s="119" t="n"/>
      <c r="J13" s="1" t="n"/>
      <c r="N13" t="inlineStr">
        <is>
          <t>Nb heures sup habituelles (par semaine)</t>
        </is>
      </c>
      <c r="O13" s="271" t="n"/>
      <c r="P13" s="89">
        <f>IF(SUM($F$18:$F$22)&gt;45,SUM($F$18:$F$22)-45,0)</f>
        <v/>
      </c>
      <c r="Q13" s="271" t="n"/>
      <c r="R13" s="275">
        <f>R7+50</f>
        <v/>
      </c>
      <c r="S13" s="5">
        <f>DATE(YEAR($F$13),MONTH($F$13),DAY(S12+1))</f>
        <v/>
      </c>
      <c r="T13">
        <f>WEEKDAY(S13)</f>
        <v/>
      </c>
      <c r="U13" s="5">
        <f>LOOKUP(S13,$R$5:$R$19)</f>
        <v/>
      </c>
      <c r="V13" s="28">
        <f>IF(S13=U13,1,0)*$O$16</f>
        <v/>
      </c>
      <c r="W13" s="36">
        <f>LOOKUP(T13,$N$20:$O$26)</f>
        <v/>
      </c>
      <c r="X13" s="40">
        <f>IF(S13&gt;$F$13,0,W13)</f>
        <v/>
      </c>
      <c r="Y13" s="152">
        <f>IF(T13=6,IF(S13&lt;$F$13,$P$13*'Données du contrat'!$O$19,0),0)</f>
        <v/>
      </c>
      <c r="Z13" s="152">
        <f>IF('Données du contrat'!$O$19=0,0,Y13/'Données du contrat'!$O$19)</f>
        <v/>
      </c>
      <c r="AA13" s="40">
        <f>IF(OR(S13&gt;$F$13,V13=1),0,VLOOKUP(T13,$N$20:$P$26,3,0))</f>
        <v/>
      </c>
      <c r="AB13" s="40">
        <f>IF(OR(S13&gt;$F$13,V13=1),0,VLOOKUP(T13,$N$20:$Q$26,4,0))</f>
        <v/>
      </c>
    </row>
    <row r="14" ht="15.25" customHeight="1" s="367">
      <c r="A14" s="1" t="n"/>
      <c r="B14" s="421" t="n"/>
      <c r="C14" s="117" t="n"/>
      <c r="D14" s="117" t="n"/>
      <c r="E14" s="402" t="n"/>
      <c r="J14" s="1" t="n"/>
      <c r="L14" t="inlineStr">
        <is>
          <t>(1) Information reprise de l'onglet Données du contrat</t>
        </is>
      </c>
      <c r="P14" s="271" t="n"/>
      <c r="Q14" s="271" t="n"/>
      <c r="R14" s="275">
        <f>DATE(T3,7,14)</f>
        <v/>
      </c>
      <c r="S14" s="5">
        <f>DATE(YEAR($F$13),MONTH($F$13),DAY(S13+1))</f>
        <v/>
      </c>
      <c r="T14">
        <f>WEEKDAY(S14)</f>
        <v/>
      </c>
      <c r="U14" s="5">
        <f>LOOKUP(S14,$R$5:$R$19)</f>
        <v/>
      </c>
      <c r="V14" s="28">
        <f>IF(S14=U14,1,0)*$O$16</f>
        <v/>
      </c>
      <c r="W14" s="36">
        <f>LOOKUP(T14,$N$20:$O$26)</f>
        <v/>
      </c>
      <c r="X14" s="40">
        <f>IF(S14&gt;$F$13,0,W14)</f>
        <v/>
      </c>
      <c r="Y14" s="152">
        <f>IF(T14=6,IF(S14&lt;$F$13,$P$13*'Données du contrat'!$O$19,0),0)</f>
        <v/>
      </c>
      <c r="Z14" s="152">
        <f>IF('Données du contrat'!$O$19=0,0,Y14/'Données du contrat'!$O$19)</f>
        <v/>
      </c>
      <c r="AA14" s="40">
        <f>IF(OR(S14&gt;$F$13,V14=1),0,VLOOKUP(T14,$N$20:$P$26,3,0))</f>
        <v/>
      </c>
      <c r="AB14" s="40">
        <f>IF(OR(S14&gt;$F$13,V14=1),0,VLOOKUP(T14,$N$20:$Q$26,4,0))</f>
        <v/>
      </c>
    </row>
    <row r="15" ht="15.25" customHeight="1" s="367">
      <c r="A15" s="1" t="n"/>
      <c r="B15" s="378" t="inlineStr">
        <is>
          <t>Répartition hebdomadaire habituelle du travail pour le mois de fin de contrat (en heures) (2)</t>
        </is>
      </c>
      <c r="J15" s="1" t="n"/>
      <c r="N15" s="37" t="inlineStr">
        <is>
          <t>Jours fériés</t>
        </is>
      </c>
      <c r="O15" s="15" t="n"/>
      <c r="Q15" s="271" t="n"/>
      <c r="R15" s="275">
        <f>DATE(T3,8,15)</f>
        <v/>
      </c>
      <c r="S15" s="5">
        <f>DATE(YEAR($F$13),MONTH($F$13),DAY(S14+1))</f>
        <v/>
      </c>
      <c r="T15">
        <f>WEEKDAY(S15)</f>
        <v/>
      </c>
      <c r="U15" s="5">
        <f>LOOKUP(S15,$R$5:$R$19)</f>
        <v/>
      </c>
      <c r="V15" s="28">
        <f>IF(S15=U15,1,0)*$O$16</f>
        <v/>
      </c>
      <c r="W15" s="36">
        <f>LOOKUP(T15,$N$20:$O$26)</f>
        <v/>
      </c>
      <c r="X15" s="40">
        <f>IF(S15&gt;$F$13,0,W15)</f>
        <v/>
      </c>
      <c r="Y15" s="152">
        <f>IF(T15=6,IF(S15&lt;$F$13,$P$13*'Données du contrat'!$O$19,0),0)</f>
        <v/>
      </c>
      <c r="Z15" s="152">
        <f>IF('Données du contrat'!$O$19=0,0,Y15/'Données du contrat'!$O$19)</f>
        <v/>
      </c>
      <c r="AA15" s="40">
        <f>IF(OR(S15&gt;$F$13,V15=1),0,VLOOKUP(T15,$N$20:$P$26,3,0))</f>
        <v/>
      </c>
      <c r="AB15" s="40">
        <f>IF(OR(S15&gt;$F$13,V15=1),0,VLOOKUP(T15,$N$20:$Q$26,4,0))</f>
        <v/>
      </c>
    </row>
    <row r="16" ht="15.25" customHeight="1" s="367">
      <c r="A16" s="1" t="n"/>
      <c r="B16" s="421" t="n"/>
      <c r="C16" s="128" t="n"/>
      <c r="D16" s="128" t="n"/>
      <c r="E16" s="128" t="n"/>
      <c r="F16" s="396" t="inlineStr">
        <is>
          <t>Nombre d'h</t>
        </is>
      </c>
      <c r="G16" s="398" t="inlineStr">
        <is>
          <t>Indemnités d'entretien (3)</t>
        </is>
      </c>
      <c r="H16" s="398" t="inlineStr">
        <is>
          <t>Frais de repas (3)</t>
        </is>
      </c>
      <c r="I16" s="128" t="n"/>
      <c r="J16" s="1" t="n"/>
      <c r="L16" t="inlineStr">
        <is>
          <t>(2) Si un jour est non travaillé, laissez 0 (zéro)</t>
        </is>
      </c>
      <c r="N16" s="17" t="inlineStr">
        <is>
          <t>Oui</t>
        </is>
      </c>
      <c r="O16" s="18">
        <f>IF(G25=N16,1,0)</f>
        <v/>
      </c>
      <c r="R16" s="275">
        <f>DATE(T3,11,1)</f>
        <v/>
      </c>
      <c r="S16" s="5">
        <f>DATE(YEAR($F$13),MONTH($F$13),DAY(S15+1))</f>
        <v/>
      </c>
      <c r="T16">
        <f>WEEKDAY(S16)</f>
        <v/>
      </c>
      <c r="U16" s="5">
        <f>LOOKUP(S16,$R$5:$R$19)</f>
        <v/>
      </c>
      <c r="V16" s="28">
        <f>IF(S16=U16,1,0)*$O$16</f>
        <v/>
      </c>
      <c r="W16" s="36">
        <f>LOOKUP(T16,$N$20:$O$26)</f>
        <v/>
      </c>
      <c r="X16" s="40">
        <f>IF(S16&gt;$F$13,0,W16)</f>
        <v/>
      </c>
      <c r="Y16" s="152">
        <f>IF(T16=6,IF(S16&lt;$F$13,$P$13*'Données du contrat'!$O$19,0),0)</f>
        <v/>
      </c>
      <c r="Z16" s="152">
        <f>IF('Données du contrat'!$O$19=0,0,Y16/'Données du contrat'!$O$19)</f>
        <v/>
      </c>
      <c r="AA16" s="40">
        <f>IF(OR(S16&gt;$F$13,V16=1),0,VLOOKUP(T16,$N$20:$P$26,3,0))</f>
        <v/>
      </c>
      <c r="AB16" s="40">
        <f>IF(OR(S16&gt;$F$13,V16=1),0,VLOOKUP(T16,$N$20:$Q$26,4,0))</f>
        <v/>
      </c>
    </row>
    <row r="17" ht="15.25" customHeight="1" s="367">
      <c r="A17" s="1" t="n"/>
      <c r="B17" s="421" t="n"/>
      <c r="C17" s="128" t="n"/>
      <c r="D17" s="128" t="n"/>
      <c r="E17" s="128" t="n"/>
      <c r="F17" s="397" t="n"/>
      <c r="I17" s="128" t="n"/>
      <c r="J17" s="1" t="n"/>
      <c r="N17" s="23" t="inlineStr">
        <is>
          <t>Non</t>
        </is>
      </c>
      <c r="O17" s="30" t="n"/>
      <c r="R17" s="275">
        <f>DATE(T3,11,11)</f>
        <v/>
      </c>
      <c r="S17" s="5">
        <f>DATE(YEAR($F$13),MONTH($F$13),DAY(S16+1))</f>
        <v/>
      </c>
      <c r="T17">
        <f>WEEKDAY(S17)</f>
        <v/>
      </c>
      <c r="U17" s="5">
        <f>LOOKUP(S17,$R$5:$R$19)</f>
        <v/>
      </c>
      <c r="V17" s="28">
        <f>IF(S17=U17,1,0)*$O$16</f>
        <v/>
      </c>
      <c r="W17" s="36">
        <f>LOOKUP(T17,$N$20:$O$26)</f>
        <v/>
      </c>
      <c r="X17" s="40">
        <f>IF(S17&gt;$F$13,0,W17)</f>
        <v/>
      </c>
      <c r="Y17" s="152">
        <f>IF(T17=6,IF(S17&lt;$F$13,$P$13*'Données du contrat'!$O$19,0),0)</f>
        <v/>
      </c>
      <c r="Z17" s="152">
        <f>IF('Données du contrat'!$O$19=0,0,Y17/'Données du contrat'!$O$19)</f>
        <v/>
      </c>
      <c r="AA17" s="40">
        <f>IF(OR(S17&gt;$F$13,V17=1),0,VLOOKUP(T17,$N$20:$P$26,3,0))</f>
        <v/>
      </c>
      <c r="AB17" s="40">
        <f>IF(OR(S17&gt;$F$13,V17=1),0,VLOOKUP(T17,$N$20:$Q$26,4,0))</f>
        <v/>
      </c>
    </row>
    <row r="18" ht="15.25" customHeight="1" s="367">
      <c r="A18" s="1" t="n"/>
      <c r="B18" s="421" t="n"/>
      <c r="C18" s="117" t="n"/>
      <c r="D18" s="377" t="inlineStr">
        <is>
          <t>Lundi</t>
        </is>
      </c>
      <c r="E18" s="377" t="n"/>
      <c r="F18" s="277" t="n">
        <v>8</v>
      </c>
      <c r="G18" s="226">
        <f>IF(F18=0,0,ROUNDUP(MAX('Données du contrat'!$O$3,F18/9*'Données du contrat'!$O$5),2))</f>
        <v/>
      </c>
      <c r="H18" s="226">
        <f>IF(F18=0,0,3)</f>
        <v/>
      </c>
      <c r="I18" s="119" t="n"/>
      <c r="J18" s="1" t="n"/>
      <c r="L18" s="376" t="inlineStr">
        <is>
          <t>(3) Indiquez ici les indemnités d'entretien et frais de repas prévus pour chaque jour de travail</t>
        </is>
      </c>
      <c r="R18" s="275">
        <f>DATE(T3,12,25)</f>
        <v/>
      </c>
      <c r="S18" s="5">
        <f>DATE(YEAR($F$13),MONTH($F$13),DAY(S17+1))</f>
        <v/>
      </c>
      <c r="T18">
        <f>WEEKDAY(S18)</f>
        <v/>
      </c>
      <c r="U18" s="5">
        <f>LOOKUP(S18,$R$5:$R$19)</f>
        <v/>
      </c>
      <c r="V18" s="28">
        <f>IF(S18=U18,1,0)*$O$16</f>
        <v/>
      </c>
      <c r="W18" s="36">
        <f>LOOKUP(T18,$N$20:$O$26)</f>
        <v/>
      </c>
      <c r="X18" s="40">
        <f>IF(S18&gt;$F$13,0,W18)</f>
        <v/>
      </c>
      <c r="Y18" s="152">
        <f>IF(T18=6,IF(S18&lt;$F$13,$P$13*'Données du contrat'!$O$19,0),0)</f>
        <v/>
      </c>
      <c r="Z18" s="152">
        <f>IF('Données du contrat'!$O$19=0,0,Y18/'Données du contrat'!$O$19)</f>
        <v/>
      </c>
      <c r="AA18" s="40">
        <f>IF(OR(S18&gt;$F$13,V18=1),0,VLOOKUP(T18,$N$20:$P$26,3,0))</f>
        <v/>
      </c>
      <c r="AB18" s="40">
        <f>IF(OR(S18&gt;$F$13,V18=1),0,VLOOKUP(T18,$N$20:$Q$26,4,0))</f>
        <v/>
      </c>
    </row>
    <row r="19" ht="15.25" customHeight="1" s="367">
      <c r="A19" s="1" t="n"/>
      <c r="B19" s="421" t="n"/>
      <c r="C19" s="117" t="n"/>
      <c r="D19" s="377" t="inlineStr">
        <is>
          <t>Mardi</t>
        </is>
      </c>
      <c r="E19" s="377" t="n"/>
      <c r="F19" s="277">
        <f>+F18</f>
        <v/>
      </c>
      <c r="G19" s="226">
        <f>IF(F19=0,0,ROUNDUP(MAX('Données du contrat'!$O$3,F19/9*'Données du contrat'!$O$5),2))</f>
        <v/>
      </c>
      <c r="H19" s="226">
        <f>IF(F19=0,0,$H$18)</f>
        <v/>
      </c>
      <c r="I19" s="119" t="n"/>
      <c r="J19" s="1" t="n"/>
      <c r="N19" t="inlineStr">
        <is>
          <t>Jour de la semaine en numéro</t>
        </is>
      </c>
      <c r="O19" t="inlineStr">
        <is>
          <t>Heures</t>
        </is>
      </c>
      <c r="Q19" t="inlineStr">
        <is>
          <t>Repas</t>
        </is>
      </c>
      <c r="R19" s="278">
        <f>IF('Données du contrat'!O14=2,R18+1,R18)</f>
        <v/>
      </c>
      <c r="S19" s="5">
        <f>DATE(YEAR($F$13),MONTH($F$13),DAY(S18+1))</f>
        <v/>
      </c>
      <c r="T19">
        <f>WEEKDAY(S19)</f>
        <v/>
      </c>
      <c r="U19" s="5">
        <f>LOOKUP(S19,$R$5:$R$19)</f>
        <v/>
      </c>
      <c r="V19" s="28">
        <f>IF(S19=U19,1,0)*$O$16</f>
        <v/>
      </c>
      <c r="W19" s="36">
        <f>LOOKUP(T19,$N$20:$O$26)</f>
        <v/>
      </c>
      <c r="X19" s="40">
        <f>IF(S19&gt;$F$13,0,W19)</f>
        <v/>
      </c>
      <c r="Y19" s="152">
        <f>IF(T19=6,IF(S19&lt;$F$13,$P$13*'Données du contrat'!$O$19,0),0)</f>
        <v/>
      </c>
      <c r="Z19" s="152">
        <f>IF('Données du contrat'!$O$19=0,0,Y19/'Données du contrat'!$O$19)</f>
        <v/>
      </c>
      <c r="AA19" s="40">
        <f>IF(OR(S19&gt;$F$13,V19=1),0,VLOOKUP(T19,$N$20:$P$26,3,0))</f>
        <v/>
      </c>
      <c r="AB19" s="40">
        <f>IF(OR(S19&gt;$F$13,V19=1),0,VLOOKUP(T19,$N$20:$Q$26,4,0))</f>
        <v/>
      </c>
    </row>
    <row r="20" ht="15.25" customHeight="1" s="367">
      <c r="A20" s="1" t="n"/>
      <c r="B20" s="421" t="n"/>
      <c r="C20" s="117" t="n"/>
      <c r="D20" s="377" t="inlineStr">
        <is>
          <t>Mercredi</t>
        </is>
      </c>
      <c r="E20" s="377" t="n"/>
      <c r="F20" s="277">
        <f>+F18</f>
        <v/>
      </c>
      <c r="G20" s="226">
        <f>IF(F20=0,0,ROUNDUP(MAX('Données du contrat'!$O$3,F20/9*'Données du contrat'!$O$5),2))</f>
        <v/>
      </c>
      <c r="H20" s="226">
        <f>IF(F20=0,0,$H$18)</f>
        <v/>
      </c>
      <c r="I20" s="119" t="n"/>
      <c r="J20" s="1" t="n"/>
      <c r="L20" s="32" t="n"/>
      <c r="N20" t="n">
        <v>1</v>
      </c>
      <c r="O20" s="51" t="n">
        <v>0</v>
      </c>
      <c r="P20" s="51" t="n">
        <v>0</v>
      </c>
      <c r="R20" s="5" t="n"/>
      <c r="S20" s="5">
        <f>DATE(YEAR($F$13),MONTH($F$13),DAY(S19+1))</f>
        <v/>
      </c>
      <c r="T20">
        <f>WEEKDAY(S20)</f>
        <v/>
      </c>
      <c r="U20" s="5">
        <f>LOOKUP(S20,$R$5:$R$19)</f>
        <v/>
      </c>
      <c r="V20" s="28">
        <f>IF(S20=U20,1,0)*$O$16</f>
        <v/>
      </c>
      <c r="W20" s="36">
        <f>LOOKUP(T20,$N$20:$O$26)</f>
        <v/>
      </c>
      <c r="X20" s="40">
        <f>IF(S20&gt;$F$13,0,W20)</f>
        <v/>
      </c>
      <c r="Y20" s="152">
        <f>IF(T20=6,IF(S20&lt;$F$13,$P$13*'Données du contrat'!$O$19,0),0)</f>
        <v/>
      </c>
      <c r="Z20" s="152">
        <f>IF('Données du contrat'!$O$19=0,0,Y20/'Données du contrat'!$O$19)</f>
        <v/>
      </c>
      <c r="AA20" s="40">
        <f>IF(OR(S20&gt;$F$13,V20=1),0,VLOOKUP(T20,$N$20:$P$26,3,0))</f>
        <v/>
      </c>
      <c r="AB20" s="40">
        <f>IF(OR(S20&gt;$F$13,V20=1),0,VLOOKUP(T20,$N$20:$Q$26,4,0))</f>
        <v/>
      </c>
    </row>
    <row r="21" ht="15.25" customHeight="1" s="367">
      <c r="A21" s="1" t="n"/>
      <c r="B21" s="421" t="n"/>
      <c r="C21" s="117" t="n"/>
      <c r="D21" s="377" t="inlineStr">
        <is>
          <t>Jeudi</t>
        </is>
      </c>
      <c r="E21" s="377" t="n"/>
      <c r="F21" s="277">
        <f>+F18</f>
        <v/>
      </c>
      <c r="G21" s="226">
        <f>IF(F21=0,0,ROUNDUP(MAX('Données du contrat'!$O$3,F21/9*'Données du contrat'!$O$5),2))</f>
        <v/>
      </c>
      <c r="H21" s="226">
        <f>IF(F21=0,0,$H$18)</f>
        <v/>
      </c>
      <c r="I21" s="119" t="n"/>
      <c r="J21" s="1" t="n"/>
      <c r="L21" s="33" t="n"/>
      <c r="N21" t="n">
        <v>2</v>
      </c>
      <c r="O21" s="279">
        <f>F18</f>
        <v/>
      </c>
      <c r="P21" s="279">
        <f>G18</f>
        <v/>
      </c>
      <c r="Q21" s="279">
        <f>H18</f>
        <v/>
      </c>
      <c r="R21" s="5" t="n"/>
      <c r="S21" s="5">
        <f>DATE(YEAR($F$13),MONTH($F$13),DAY(S20+1))</f>
        <v/>
      </c>
      <c r="T21">
        <f>WEEKDAY(S21)</f>
        <v/>
      </c>
      <c r="U21" s="5">
        <f>LOOKUP(S21,$R$5:$R$19)</f>
        <v/>
      </c>
      <c r="V21" s="28">
        <f>IF(S21=U21,1,0)*$O$16</f>
        <v/>
      </c>
      <c r="W21" s="36">
        <f>LOOKUP(T21,$N$20:$O$26)</f>
        <v/>
      </c>
      <c r="X21" s="40">
        <f>IF(S21&gt;$F$13,0,W21)</f>
        <v/>
      </c>
      <c r="Y21" s="152">
        <f>IF(T21=6,IF(S21&lt;$F$13,$P$13*'Données du contrat'!$O$19,0),0)</f>
        <v/>
      </c>
      <c r="Z21" s="152">
        <f>IF('Données du contrat'!$O$19=0,0,Y21/'Données du contrat'!$O$19)</f>
        <v/>
      </c>
      <c r="AA21" s="40">
        <f>IF(OR(S21&gt;$F$13,V21=1),0,VLOOKUP(T21,$N$20:$P$26,3,0))</f>
        <v/>
      </c>
      <c r="AB21" s="40">
        <f>IF(OR(S21&gt;$F$13,V21=1),0,VLOOKUP(T21,$N$20:$Q$26,4,0))</f>
        <v/>
      </c>
    </row>
    <row r="22" ht="15.25" customHeight="1" s="367">
      <c r="A22" s="1" t="n"/>
      <c r="B22" s="421" t="n"/>
      <c r="C22" s="117" t="n"/>
      <c r="D22" s="377" t="inlineStr">
        <is>
          <t>Vendredi</t>
        </is>
      </c>
      <c r="E22" s="377" t="n"/>
      <c r="F22" s="277">
        <f>+F18</f>
        <v/>
      </c>
      <c r="G22" s="226">
        <f>IF(F22=0,0,ROUNDUP(MAX('Données du contrat'!$O$3,F22/9*'Données du contrat'!$O$5),2))</f>
        <v/>
      </c>
      <c r="H22" s="226">
        <f>IF(F22=0,0,$H$18)</f>
        <v/>
      </c>
      <c r="I22" s="119" t="n"/>
      <c r="J22" s="1" t="n"/>
      <c r="N22" t="n">
        <v>3</v>
      </c>
      <c r="O22" s="279">
        <f>F19</f>
        <v/>
      </c>
      <c r="P22" s="279">
        <f>G19</f>
        <v/>
      </c>
      <c r="Q22" s="279">
        <f>H19</f>
        <v/>
      </c>
      <c r="R22" s="5" t="n"/>
      <c r="S22" s="5">
        <f>DATE(YEAR($F$13),MONTH($F$13),DAY(S21+1))</f>
        <v/>
      </c>
      <c r="T22">
        <f>WEEKDAY(S22)</f>
        <v/>
      </c>
      <c r="U22" s="5">
        <f>LOOKUP(S22,$R$5:$R$19)</f>
        <v/>
      </c>
      <c r="V22" s="28">
        <f>IF(S22=U22,1,0)*$O$16</f>
        <v/>
      </c>
      <c r="W22" s="36">
        <f>LOOKUP(T22,$N$20:$O$26)</f>
        <v/>
      </c>
      <c r="X22" s="40">
        <f>IF(S22&gt;$F$13,0,W22)</f>
        <v/>
      </c>
      <c r="Y22" s="152">
        <f>IF(T22=6,IF(S22&lt;$F$13,$P$13*'Données du contrat'!$O$19,0),0)</f>
        <v/>
      </c>
      <c r="Z22" s="152">
        <f>IF('Données du contrat'!$O$19=0,0,Y22/'Données du contrat'!$O$19)</f>
        <v/>
      </c>
      <c r="AA22" s="40">
        <f>IF(OR(S22&gt;$F$13,V22=1),0,VLOOKUP(T22,$N$20:$P$26,3,0))</f>
        <v/>
      </c>
      <c r="AB22" s="40">
        <f>IF(OR(S22&gt;$F$13,V22=1),0,VLOOKUP(T22,$N$20:$Q$26,4,0))</f>
        <v/>
      </c>
    </row>
    <row r="23" ht="15.25" customHeight="1" s="367">
      <c r="A23" s="1" t="n"/>
      <c r="B23" s="421" t="n"/>
      <c r="C23" s="117" t="n"/>
      <c r="D23" s="421" t="inlineStr">
        <is>
          <t>TOTAL</t>
        </is>
      </c>
      <c r="E23" s="421" t="n"/>
      <c r="F23" s="280">
        <f>SUM(F18:F22)</f>
        <v/>
      </c>
      <c r="G23" s="280" t="n"/>
      <c r="H23" s="280" t="n"/>
      <c r="I23" s="119" t="n"/>
      <c r="J23" s="1" t="n"/>
      <c r="L23" s="52" t="n"/>
      <c r="N23" t="n">
        <v>4</v>
      </c>
      <c r="O23" s="279">
        <f>F20</f>
        <v/>
      </c>
      <c r="P23" s="279">
        <f>G20</f>
        <v/>
      </c>
      <c r="Q23" s="279">
        <f>H20</f>
        <v/>
      </c>
      <c r="R23" s="5" t="n"/>
      <c r="S23" s="5">
        <f>DATE(YEAR($F$13),MONTH($F$13),DAY(S22+1))</f>
        <v/>
      </c>
      <c r="T23">
        <f>WEEKDAY(S23)</f>
        <v/>
      </c>
      <c r="U23" s="5">
        <f>LOOKUP(S23,$R$5:$R$19)</f>
        <v/>
      </c>
      <c r="V23" s="28">
        <f>IF(S23=U23,1,0)*$O$16</f>
        <v/>
      </c>
      <c r="W23" s="36">
        <f>LOOKUP(T23,$N$20:$O$26)</f>
        <v/>
      </c>
      <c r="X23" s="40">
        <f>IF(S23&gt;$F$13,0,W23)</f>
        <v/>
      </c>
      <c r="Y23" s="152">
        <f>IF(T23=6,IF(S23&lt;$F$13,$P$13*'Données du contrat'!$O$19,0),0)</f>
        <v/>
      </c>
      <c r="Z23" s="152">
        <f>IF('Données du contrat'!$O$19=0,0,Y23/'Données du contrat'!$O$19)</f>
        <v/>
      </c>
      <c r="AA23" s="40">
        <f>IF(OR(S23&gt;$F$13,V23=1),0,VLOOKUP(T23,$N$20:$P$26,3,0))</f>
        <v/>
      </c>
      <c r="AB23" s="40">
        <f>IF(OR(S23&gt;$F$13,V23=1),0,VLOOKUP(T23,$N$20:$Q$26,4,0))</f>
        <v/>
      </c>
    </row>
    <row r="24" ht="15.25" customHeight="1" s="367">
      <c r="A24" s="1" t="n"/>
      <c r="B24" s="421" t="n"/>
      <c r="C24" s="117" t="n"/>
      <c r="D24" s="421" t="n"/>
      <c r="E24" s="421" t="n"/>
      <c r="F24" s="280" t="n"/>
      <c r="G24" s="280" t="n"/>
      <c r="H24" s="280" t="n"/>
      <c r="I24" s="119" t="n"/>
      <c r="J24" s="1" t="n"/>
      <c r="N24" t="n">
        <v>5</v>
      </c>
      <c r="O24" s="279">
        <f>F21</f>
        <v/>
      </c>
      <c r="P24" s="279">
        <f>G21</f>
        <v/>
      </c>
      <c r="Q24" s="279">
        <f>H21</f>
        <v/>
      </c>
      <c r="R24" s="5" t="n"/>
      <c r="S24" s="5">
        <f>DATE(YEAR($F$13),MONTH($F$13),DAY(S23+1))</f>
        <v/>
      </c>
      <c r="T24">
        <f>WEEKDAY(S24)</f>
        <v/>
      </c>
      <c r="U24" s="5">
        <f>LOOKUP(S24,$R$5:$R$19)</f>
        <v/>
      </c>
      <c r="V24" s="28">
        <f>IF(S24=U24,1,0)*$O$16</f>
        <v/>
      </c>
      <c r="W24" s="36">
        <f>LOOKUP(T24,$N$20:$O$26)</f>
        <v/>
      </c>
      <c r="X24" s="40">
        <f>IF(S24&gt;$F$13,0,W24)</f>
        <v/>
      </c>
      <c r="Y24" s="152">
        <f>IF(T24=6,IF(S24&lt;$F$13,$P$13*'Données du contrat'!$O$19,0),0)</f>
        <v/>
      </c>
      <c r="Z24" s="152">
        <f>IF('Données du contrat'!$O$19=0,0,Y24/'Données du contrat'!$O$19)</f>
        <v/>
      </c>
      <c r="AA24" s="40">
        <f>IF(OR(S24&gt;$F$13,V24=1),0,VLOOKUP(T24,$N$20:$P$26,3,0))</f>
        <v/>
      </c>
      <c r="AB24" s="40">
        <f>IF(OR(S24&gt;$F$13,V24=1),0,VLOOKUP(T24,$N$20:$Q$26,4,0))</f>
        <v/>
      </c>
    </row>
    <row r="25" ht="15.25" customHeight="1" s="367">
      <c r="A25" s="1" t="n"/>
      <c r="B25" s="421" t="n"/>
      <c r="C25" s="117" t="n"/>
      <c r="D25" s="377" t="inlineStr">
        <is>
          <t>S'il y a des jours fériés le dernier mois, seront-ils chômés ?</t>
        </is>
      </c>
      <c r="E25" s="421" t="n"/>
      <c r="F25" s="280" t="n"/>
      <c r="G25" s="129" t="inlineStr">
        <is>
          <t>Oui</t>
        </is>
      </c>
      <c r="H25" s="280" t="n"/>
      <c r="I25" s="119" t="n"/>
      <c r="J25" s="1" t="n"/>
      <c r="N25" t="n">
        <v>6</v>
      </c>
      <c r="O25" s="279">
        <f>F22</f>
        <v/>
      </c>
      <c r="P25" s="279">
        <f>G22</f>
        <v/>
      </c>
      <c r="Q25" s="279">
        <f>H22</f>
        <v/>
      </c>
      <c r="R25" s="5" t="n"/>
      <c r="S25" s="5">
        <f>DATE(YEAR($F$13),MONTH($F$13),DAY(S24+1))</f>
        <v/>
      </c>
      <c r="T25">
        <f>WEEKDAY(S25)</f>
        <v/>
      </c>
      <c r="U25" s="5">
        <f>LOOKUP(S25,$R$5:$R$19)</f>
        <v/>
      </c>
      <c r="V25" s="28">
        <f>IF(S25=U25,1,0)*$O$16</f>
        <v/>
      </c>
      <c r="W25" s="36">
        <f>LOOKUP(T25,$N$20:$O$26)</f>
        <v/>
      </c>
      <c r="X25" s="40">
        <f>IF(S25&gt;$F$13,0,W25)</f>
        <v/>
      </c>
      <c r="Y25" s="152">
        <f>IF(T25=6,IF(S25&lt;$F$13,$P$13*'Données du contrat'!$O$19,0),0)</f>
        <v/>
      </c>
      <c r="Z25" s="152">
        <f>IF('Données du contrat'!$O$19=0,0,Y25/'Données du contrat'!$O$19)</f>
        <v/>
      </c>
      <c r="AA25" s="40">
        <f>IF(OR(S25&gt;$F$13,V25=1),0,VLOOKUP(T25,$N$20:$P$26,3,0))</f>
        <v/>
      </c>
      <c r="AB25" s="40">
        <f>IF(OR(S25&gt;$F$13,V25=1),0,VLOOKUP(T25,$N$20:$Q$26,4,0))</f>
        <v/>
      </c>
    </row>
    <row r="26" ht="15.25" customHeight="1" s="367">
      <c r="A26" s="1" t="n"/>
      <c r="B26" s="421" t="n"/>
      <c r="C26" s="117" t="n"/>
      <c r="D26" s="421" t="n"/>
      <c r="E26" s="421" t="n"/>
      <c r="F26" s="280" t="n"/>
      <c r="G26" s="280" t="n"/>
      <c r="H26" s="280" t="n"/>
      <c r="I26" s="119" t="n"/>
      <c r="J26" s="1" t="n"/>
      <c r="K26" s="19" t="n"/>
      <c r="M26" s="19" t="n"/>
      <c r="N26" t="n">
        <v>7</v>
      </c>
      <c r="O26" s="51" t="n">
        <v>0</v>
      </c>
      <c r="P26" s="51" t="n">
        <v>0</v>
      </c>
      <c r="R26" s="5" t="n"/>
      <c r="S26" s="5">
        <f>DATE(YEAR($F$13),MONTH($F$13),DAY(S25+1))</f>
        <v/>
      </c>
      <c r="T26">
        <f>WEEKDAY(S26)</f>
        <v/>
      </c>
      <c r="U26" s="5">
        <f>LOOKUP(S26,$R$5:$R$19)</f>
        <v/>
      </c>
      <c r="V26" s="28">
        <f>IF(S26=U26,1,0)*$O$16</f>
        <v/>
      </c>
      <c r="W26" s="36">
        <f>LOOKUP(T26,$N$20:$O$26)</f>
        <v/>
      </c>
      <c r="X26" s="40">
        <f>IF(S26&gt;$F$13,0,W26)</f>
        <v/>
      </c>
      <c r="Y26" s="152">
        <f>IF(T26=6,IF(S26&lt;$F$13,$P$13*'Données du contrat'!$O$19,0),0)</f>
        <v/>
      </c>
      <c r="Z26" s="152">
        <f>IF('Données du contrat'!$O$19=0,0,Y26/'Données du contrat'!$O$19)</f>
        <v/>
      </c>
      <c r="AA26" s="40">
        <f>IF(OR(S26&gt;$F$13,V26=1),0,VLOOKUP(T26,$N$20:$P$26,3,0))</f>
        <v/>
      </c>
      <c r="AB26" s="40">
        <f>IF(OR(S26&gt;$F$13,V26=1),0,VLOOKUP(T26,$N$20:$Q$26,4,0))</f>
        <v/>
      </c>
    </row>
    <row r="27" ht="15.25" customHeight="1" s="367">
      <c r="A27" s="1" t="n"/>
      <c r="B27" s="378" t="inlineStr">
        <is>
          <t>Heures travaillées le dernier mois</t>
        </is>
      </c>
      <c r="E27" s="421" t="n"/>
      <c r="F27" s="280" t="n"/>
      <c r="G27" s="280" t="n"/>
      <c r="H27" s="280" t="n"/>
      <c r="I27" s="119" t="n"/>
      <c r="J27" s="1" t="n"/>
      <c r="L27" s="32" t="n"/>
      <c r="N27" t="inlineStr">
        <is>
          <t>Numéro du mois</t>
        </is>
      </c>
      <c r="O27">
        <f>MONTH(F13)</f>
        <v/>
      </c>
      <c r="R27" s="5" t="n"/>
      <c r="S27" s="5">
        <f>DATE(YEAR($F$13),MONTH($F$13),DAY(S26+1))</f>
        <v/>
      </c>
      <c r="T27">
        <f>WEEKDAY(S27)</f>
        <v/>
      </c>
      <c r="U27" s="5">
        <f>LOOKUP(S27,$R$5:$R$19)</f>
        <v/>
      </c>
      <c r="V27" s="28">
        <f>IF(S27=U27,1,0)*$O$16</f>
        <v/>
      </c>
      <c r="W27" s="36">
        <f>LOOKUP(T27,$N$20:$O$26)</f>
        <v/>
      </c>
      <c r="X27" s="40">
        <f>IF(S27&gt;$F$13,0,W27)</f>
        <v/>
      </c>
      <c r="Y27" s="152">
        <f>IF(T27=6,IF(S27&lt;$F$13,$P$13*'Données du contrat'!$O$19,0),0)</f>
        <v/>
      </c>
      <c r="Z27" s="152">
        <f>IF('Données du contrat'!$O$19=0,0,Y27/'Données du contrat'!$O$19)</f>
        <v/>
      </c>
      <c r="AA27" s="40">
        <f>IF(OR(S27&gt;$F$13,V27=1),0,VLOOKUP(T27,$N$20:$P$26,3,0))</f>
        <v/>
      </c>
      <c r="AB27" s="40">
        <f>IF(OR(S27&gt;$F$13,V27=1),0,VLOOKUP(T27,$N$20:$Q$26,4,0))</f>
        <v/>
      </c>
    </row>
    <row r="28" ht="15.25" customHeight="1" s="367">
      <c r="A28" s="1" t="n"/>
      <c r="B28" s="421" t="n"/>
      <c r="C28" s="125" t="n"/>
      <c r="D28" s="377">
        <f>CONCATENATE("Nombre d'HEURES d'absence au mois de ",$O$28," ",YEAR($F$13)," (4)")</f>
        <v/>
      </c>
      <c r="E28" s="421" t="n"/>
      <c r="F28" s="280" t="n"/>
      <c r="G28" s="281" t="n">
        <v>0</v>
      </c>
      <c r="H28" s="280" t="n"/>
      <c r="I28" s="119" t="n"/>
      <c r="J28" s="1" t="n"/>
      <c r="L28" s="32" t="n"/>
      <c r="N28" t="inlineStr">
        <is>
          <t>Nom du mois</t>
        </is>
      </c>
      <c r="O28" s="6">
        <f>TEXT("1/"&amp;O27,"Mmmm")</f>
        <v/>
      </c>
      <c r="R28" s="5" t="n"/>
      <c r="S28" s="5">
        <f>DATE(YEAR($F$13),MONTH($F$13),DAY(S27+1))</f>
        <v/>
      </c>
      <c r="T28">
        <f>WEEKDAY(S28)</f>
        <v/>
      </c>
      <c r="U28" s="5">
        <f>LOOKUP(S28,$R$5:$R$19)</f>
        <v/>
      </c>
      <c r="V28" s="28">
        <f>IF(S28=U28,1,0)*$O$16</f>
        <v/>
      </c>
      <c r="W28" s="36">
        <f>LOOKUP(T28,$N$20:$O$26)</f>
        <v/>
      </c>
      <c r="X28" s="40">
        <f>IF(S28&gt;$F$13,0,W28)</f>
        <v/>
      </c>
      <c r="Y28" s="152">
        <f>IF(T28=6,IF(S28&lt;$F$13,$P$13*'Données du contrat'!$O$19,0),0)</f>
        <v/>
      </c>
      <c r="Z28" s="152">
        <f>IF('Données du contrat'!$O$19=0,0,Y28/'Données du contrat'!$O$19)</f>
        <v/>
      </c>
      <c r="AA28" s="40">
        <f>IF(OR(S28&gt;$F$13,V28=1),0,VLOOKUP(T28,$N$20:$P$26,3,0))</f>
        <v/>
      </c>
      <c r="AB28" s="40">
        <f>IF(OR(S28&gt;$F$13,V28=1),0,VLOOKUP(T28,$N$20:$Q$26,4,0))</f>
        <v/>
      </c>
    </row>
    <row r="29" ht="15.25" customHeight="1" s="367">
      <c r="A29" s="1" t="n"/>
      <c r="B29" s="421" t="n"/>
      <c r="C29" s="125" t="n"/>
      <c r="D29" s="377">
        <f>CONCATENATE("Nb d'h compl. non majorées effectuées au mois de ",$O$28," ",YEAR($F$13))</f>
        <v/>
      </c>
      <c r="E29" s="421" t="n"/>
      <c r="F29" s="280" t="n"/>
      <c r="G29" s="281" t="n">
        <v>0</v>
      </c>
      <c r="H29" s="280" t="n"/>
      <c r="I29" s="119" t="n"/>
      <c r="J29" s="1" t="n"/>
      <c r="L29" s="376" t="inlineStr">
        <is>
          <t>(4) Indiquez ici les heures d'absence NON rémunérées et non prévues au contrat (de l'enfant ou de l'assmat), par exemple pour maladie, congés sans solde etc</t>
        </is>
      </c>
      <c r="R29" s="5" t="n"/>
      <c r="S29" s="5">
        <f>DATE(YEAR($F$13),MONTH($F$13),DAY(S28+1))</f>
        <v/>
      </c>
      <c r="T29">
        <f>WEEKDAY(S29)</f>
        <v/>
      </c>
      <c r="U29" s="5">
        <f>LOOKUP(S29,$R$5:$R$19)</f>
        <v/>
      </c>
      <c r="V29" s="28">
        <f>IF(S29=U29,1,0)*$O$16</f>
        <v/>
      </c>
      <c r="W29" s="36">
        <f>LOOKUP(T29,$N$20:$O$26)</f>
        <v/>
      </c>
      <c r="X29" s="40">
        <f>IF(S29&gt;$F$13,0,W29)</f>
        <v/>
      </c>
      <c r="Y29" s="152">
        <f>IF(T29=6,IF(S29&lt;$F$13,$P$13*'Données du contrat'!$O$19,0),0)</f>
        <v/>
      </c>
      <c r="Z29" s="152">
        <f>IF('Données du contrat'!$O$19=0,0,Y29/'Données du contrat'!$O$19)</f>
        <v/>
      </c>
      <c r="AA29" s="40">
        <f>IF(OR(S29&gt;$F$13,V29=1),0,VLOOKUP(T29,$N$20:$P$26,3,0))</f>
        <v/>
      </c>
      <c r="AB29" s="40">
        <f>IF(OR(S29&gt;$F$13,V29=1),0,VLOOKUP(T29,$N$20:$Q$26,4,0))</f>
        <v/>
      </c>
    </row>
    <row r="30" ht="15.25" customHeight="1" s="367">
      <c r="A30" s="1" t="n"/>
      <c r="B30" s="421" t="n"/>
      <c r="C30" s="125" t="n"/>
      <c r="D30" s="377">
        <f>CONCATENATE("Nb d'h majorées non prévues au contrat au mois de ",$O$28," ",YEAR($F$13))</f>
        <v/>
      </c>
      <c r="E30" s="421" t="n"/>
      <c r="F30" s="280" t="n"/>
      <c r="G30" s="281" t="n">
        <v>0</v>
      </c>
      <c r="H30" s="280" t="n"/>
      <c r="I30" s="119" t="n"/>
      <c r="J30" s="1" t="n"/>
      <c r="R30" s="5" t="n"/>
      <c r="S30" s="5">
        <f>DATE(YEAR($F$13),MONTH($F$13),DAY(S29+1))</f>
        <v/>
      </c>
      <c r="T30">
        <f>WEEKDAY(S30)</f>
        <v/>
      </c>
      <c r="U30" s="5">
        <f>LOOKUP(S30,$R$5:$R$19)</f>
        <v/>
      </c>
      <c r="V30" s="28">
        <f>IF(S30=U30,1,0)*$O$16</f>
        <v/>
      </c>
      <c r="W30" s="36">
        <f>LOOKUP(T30,$N$20:$O$26)</f>
        <v/>
      </c>
      <c r="X30" s="40">
        <f>IF(S30&gt;$F$13,0,W30)</f>
        <v/>
      </c>
      <c r="Y30" s="152">
        <f>IF(T30=6,IF(S30&lt;$F$13,$P$13*'Données du contrat'!$O$19,0),0)</f>
        <v/>
      </c>
      <c r="Z30" s="152">
        <f>IF('Données du contrat'!$O$19=0,0,Y30/'Données du contrat'!$O$19)</f>
        <v/>
      </c>
      <c r="AA30" s="40">
        <f>IF(OR(S30&gt;$F$13,V30=1),0,VLOOKUP(T30,$N$20:$P$26,3,0))</f>
        <v/>
      </c>
      <c r="AB30" s="40">
        <f>IF(OR(S30&gt;$F$13,V30=1),0,VLOOKUP(T30,$N$20:$Q$26,4,0))</f>
        <v/>
      </c>
    </row>
    <row r="31" ht="15.25" customHeight="1" s="367">
      <c r="A31" s="1" t="n"/>
      <c r="B31" s="421" t="n"/>
      <c r="C31" s="125" t="n"/>
      <c r="D31" s="125" t="n"/>
      <c r="E31" s="125" t="n"/>
      <c r="F31" s="421" t="n"/>
      <c r="G31" s="421" t="n"/>
      <c r="H31" s="421" t="n"/>
      <c r="I31" s="119" t="n"/>
      <c r="J31" s="1" t="n"/>
      <c r="R31" s="5" t="n"/>
      <c r="S31" s="5">
        <f>DATE(YEAR($F$13),MONTH($F$13),DAY(S30+1))</f>
        <v/>
      </c>
      <c r="T31">
        <f>WEEKDAY(S31)</f>
        <v/>
      </c>
      <c r="U31" s="5">
        <f>LOOKUP(S31,$R$5:$R$19)</f>
        <v/>
      </c>
      <c r="V31" s="28">
        <f>IF(S31=U31,1,0)*$O$16</f>
        <v/>
      </c>
      <c r="W31" s="36">
        <f>LOOKUP(T31,$N$20:$O$26)</f>
        <v/>
      </c>
      <c r="X31" s="40">
        <f>IF(S31&gt;$F$13,0,W31)</f>
        <v/>
      </c>
      <c r="Y31" s="152">
        <f>IF(T31=6,IF(S31&lt;$F$13,$P$13*'Données du contrat'!$O$19,0),0)</f>
        <v/>
      </c>
      <c r="Z31" s="152">
        <f>IF('Données du contrat'!$O$19=0,0,Y31/'Données du contrat'!$O$19)</f>
        <v/>
      </c>
      <c r="AA31" s="40">
        <f>IF(OR(S31&gt;$F$13,V31=1),0,VLOOKUP(T31,$N$20:$P$26,3,0))</f>
        <v/>
      </c>
      <c r="AB31" s="40">
        <f>IF(OR(S31&gt;$F$13,V31=1),0,VLOOKUP(T31,$N$20:$Q$26,4,0))</f>
        <v/>
      </c>
    </row>
    <row r="32" ht="15.25" customHeight="1" s="367">
      <c r="A32" s="1" t="n"/>
      <c r="B32" s="368" t="n"/>
      <c r="C32" s="368" t="n"/>
      <c r="D32" s="368" t="n"/>
      <c r="E32" s="368" t="n"/>
      <c r="F32" s="53" t="n"/>
      <c r="G32" s="368" t="n"/>
      <c r="H32" s="368" t="n"/>
      <c r="I32" s="53" t="n"/>
      <c r="J32" s="1" t="n"/>
      <c r="L32" s="32" t="n"/>
      <c r="R32" s="5" t="n"/>
      <c r="S32" s="5">
        <f>DATE(YEAR($F$13),MONTH($F$13),DAY(S31+1))</f>
        <v/>
      </c>
      <c r="T32">
        <f>WEEKDAY(S32)</f>
        <v/>
      </c>
      <c r="U32" s="5">
        <f>LOOKUP(S32,$R$5:$R$19)</f>
        <v/>
      </c>
      <c r="V32" s="28">
        <f>IF(S32=U32,1,0)*$O$16</f>
        <v/>
      </c>
      <c r="W32" s="36">
        <f>LOOKUP(T32,$N$20:$O$26)</f>
        <v/>
      </c>
      <c r="X32" s="40">
        <f>IF(S32&gt;$F$13,0,W32)</f>
        <v/>
      </c>
      <c r="Y32" s="152">
        <f>IF(T32=6,IF(S32&lt;$F$13,$P$13*'Données du contrat'!$O$19,0),0)</f>
        <v/>
      </c>
      <c r="Z32" s="152">
        <f>IF('Données du contrat'!$O$19=0,0,Y32/'Données du contrat'!$O$19)</f>
        <v/>
      </c>
      <c r="AA32" s="40">
        <f>IF(OR(S32&gt;$F$13,V32=1),0,VLOOKUP(T32,$N$20:$P$26,3,0))</f>
        <v/>
      </c>
      <c r="AB32" s="40">
        <f>IF(OR(S32&gt;$F$13,V32=1),0,VLOOKUP(T32,$N$20:$Q$26,4,0))</f>
        <v/>
      </c>
    </row>
    <row r="33" ht="15.25" customHeight="1" s="367">
      <c r="A33" s="1" t="n"/>
      <c r="B33" s="368" t="n"/>
      <c r="C33" s="368" t="n"/>
      <c r="D33" s="392" t="inlineStr">
        <is>
          <t>Nombre total d'heures qui auraient pu être travaillées dans le mois (5)</t>
        </is>
      </c>
      <c r="E33" s="368" t="n"/>
      <c r="F33" s="53" t="n"/>
      <c r="G33" s="282">
        <f>W36</f>
        <v/>
      </c>
      <c r="H33" s="54" t="inlineStr">
        <is>
          <t>A</t>
        </is>
      </c>
      <c r="I33" s="53" t="n"/>
      <c r="J33" s="1" t="n"/>
      <c r="L33" t="inlineStr">
        <is>
          <t>(5) incluant des éventuels jours fériés, chômés ou non</t>
        </is>
      </c>
      <c r="R33" s="5" t="n"/>
      <c r="S33" s="5">
        <f>IF(DAY(S32+1)&lt;=$P$5,DATE(YEAR($F$13),MONTH($F$13),DAY(S32+1)),0)</f>
        <v/>
      </c>
      <c r="T33">
        <f>IF(S33&gt;$S$32,WEEKDAY(S33),0)</f>
        <v/>
      </c>
      <c r="U33" s="5">
        <f>LOOKUP(S33,$R$5:$R$19)</f>
        <v/>
      </c>
      <c r="V33" s="28">
        <f>IF(S33=U33,1,0)*$O$16</f>
        <v/>
      </c>
      <c r="W33" s="36">
        <f>IF(T33&lt;&gt;0,LOOKUP(T33,$N$20:$O$26),0)</f>
        <v/>
      </c>
      <c r="X33" s="40">
        <f>IF(S33&gt;$F$13,0,W33)</f>
        <v/>
      </c>
      <c r="Y33" s="152">
        <f>IF(T33=6,IF(S33&lt;$F$13,$P$13*'Données du contrat'!$O$19,0),0)</f>
        <v/>
      </c>
      <c r="Z33" s="152">
        <f>IF('Données du contrat'!$O$19=0,0,Y33/'Données du contrat'!$O$19)</f>
        <v/>
      </c>
      <c r="AA33" s="40">
        <f>IF(T33&lt;&gt;0,IF(OR(S33&gt;$F$13,V33=1),0,VLOOKUP(T33,$N$20:$P$26,3,0)),0)</f>
        <v/>
      </c>
      <c r="AB33" s="40">
        <f>IF(T33&lt;&gt;0,IF(OR(S33&gt;$F$13,V33=1),0,VLOOKUP(T33,$N$20:$Q$26,4,0)),0)</f>
        <v/>
      </c>
    </row>
    <row r="34" ht="15.25" customHeight="1" s="367">
      <c r="A34" s="1" t="n"/>
      <c r="B34" s="368" t="n"/>
      <c r="C34" s="391" t="inlineStr">
        <is>
          <t>Nombre d'heures réellement travaillées dans le mois (6)</t>
        </is>
      </c>
      <c r="E34" s="55" t="n"/>
      <c r="F34" s="53" t="n"/>
      <c r="G34" s="282">
        <f>X36-G28</f>
        <v/>
      </c>
      <c r="H34" s="56" t="inlineStr">
        <is>
          <t>B</t>
        </is>
      </c>
      <c r="I34" s="53" t="n"/>
      <c r="J34" s="1" t="n"/>
      <c r="L34" s="376" t="inlineStr">
        <is>
          <t>(6) hors heures complémentaires et supplémentaires non prévues au contrat</t>
        </is>
      </c>
      <c r="R34" s="5" t="n"/>
      <c r="S34" s="5">
        <f>IF(DAY(S33+1)&lt;=$P$5,DATE(YEAR($F$13),MONTH($F$13),DAY(S33+1)),0)</f>
        <v/>
      </c>
      <c r="T34">
        <f>IF(S34&gt;$S$32,WEEKDAY(S34),0)</f>
        <v/>
      </c>
      <c r="U34" s="5">
        <f>LOOKUP(S34,$R$5:$R$19)</f>
        <v/>
      </c>
      <c r="V34" s="28">
        <f>IF(S34=U34,1,0)*$O$16</f>
        <v/>
      </c>
      <c r="W34" s="36">
        <f>IF(T34&lt;&gt;0,LOOKUP(T34,$N$20:$O$26),0)</f>
        <v/>
      </c>
      <c r="X34" s="40">
        <f>IF(S34&gt;$F$13,0,W34)</f>
        <v/>
      </c>
      <c r="Y34" s="152">
        <f>IF(T34=6,IF(S34&lt;$F$13,$P$13*'Données du contrat'!$O$19,0),0)</f>
        <v/>
      </c>
      <c r="Z34" s="152">
        <f>IF('Données du contrat'!$O$19=0,0,Y34/'Données du contrat'!$O$19)</f>
        <v/>
      </c>
      <c r="AA34" s="40">
        <f>IF(T34&lt;&gt;0,IF(OR(S34&gt;$F$13,V34=1),0,VLOOKUP(T34,$N$20:$P$26,3,0)),0)</f>
        <v/>
      </c>
      <c r="AB34" s="40">
        <f>IF(T34&lt;&gt;0,IF(OR(S34&gt;$F$13,V34=1),0,VLOOKUP(T34,$N$20:$Q$26,4,0)),0)</f>
        <v/>
      </c>
    </row>
    <row r="35" ht="15.25" customHeight="1" s="367">
      <c r="A35" s="1" t="n"/>
      <c r="B35" s="368" t="n"/>
      <c r="C35" s="395" t="inlineStr">
        <is>
          <t>Nombre d'heures d'absence (A - B)</t>
        </is>
      </c>
      <c r="E35" s="55" t="n"/>
      <c r="F35" s="53" t="n"/>
      <c r="G35" s="282">
        <f>G33-G34</f>
        <v/>
      </c>
      <c r="H35" s="56" t="inlineStr">
        <is>
          <t>C</t>
        </is>
      </c>
      <c r="I35" s="53" t="n"/>
      <c r="J35" s="1" t="n"/>
      <c r="R35" s="5" t="n"/>
      <c r="S35" s="5">
        <f>IF(DAY(S34+1)&lt;=$P$5,DATE(YEAR($F$13),MONTH($F$13),DAY(S34+1)),0)</f>
        <v/>
      </c>
      <c r="T35">
        <f>IF(S35&gt;$S$32,WEEKDAY(S35),0)</f>
        <v/>
      </c>
      <c r="U35" s="5">
        <f>LOOKUP(S35,$R$5:$R$19)</f>
        <v/>
      </c>
      <c r="V35" s="28">
        <f>IF(S35=U35,1,0)*$O$16</f>
        <v/>
      </c>
      <c r="W35" s="36">
        <f>IF(T35&lt;&gt;0,LOOKUP(T35,$N$20:$O$26),0)</f>
        <v/>
      </c>
      <c r="X35" s="40">
        <f>IF(S35&gt;$F$13,0,W35)</f>
        <v/>
      </c>
      <c r="Y35" s="152">
        <f>IF(T35=6,IF(S35&lt;$F$13,$P$13*'Données du contrat'!$O$19,0),0)</f>
        <v/>
      </c>
      <c r="Z35" s="152">
        <f>IF('Données du contrat'!$O$19=0,0,Y35/'Données du contrat'!$O$19)</f>
        <v/>
      </c>
      <c r="AA35" s="40">
        <f>IF(T35&lt;&gt;0,IF(OR(S35&gt;$F$13,V35=1),0,VLOOKUP(T35,$N$20:$P$26,3,0)),0)</f>
        <v/>
      </c>
      <c r="AB35" s="40">
        <f>IF(T35&lt;&gt;0,IF(OR(S35&gt;$F$13,V35=1),0,VLOOKUP(T35,$N$20:$Q$26,4,0)),0)</f>
        <v/>
      </c>
    </row>
    <row r="36" ht="15.25" customHeight="1" s="367">
      <c r="A36" s="1" t="n"/>
      <c r="B36" s="368" t="n"/>
      <c r="C36" s="368" t="n"/>
      <c r="D36" s="392" t="inlineStr">
        <is>
          <t>Nombre d'heures majorées prévues au contrat effectuées</t>
        </is>
      </c>
      <c r="E36" s="55" t="n"/>
      <c r="F36" s="53" t="n"/>
      <c r="G36" s="130">
        <f>Z36</f>
        <v/>
      </c>
      <c r="H36" s="56" t="n"/>
      <c r="I36" s="53" t="n"/>
      <c r="J36" s="1" t="n"/>
      <c r="R36" s="5" t="n"/>
      <c r="S36" s="5" t="n"/>
      <c r="W36" s="40">
        <f>SUM(W5:W35)</f>
        <v/>
      </c>
      <c r="X36" s="40">
        <f>SUM(X5:X35)</f>
        <v/>
      </c>
      <c r="Y36">
        <f>SUM(Y5:Y35)</f>
        <v/>
      </c>
      <c r="Z36">
        <f>SUM(Z5:Z35)</f>
        <v/>
      </c>
    </row>
    <row r="37" ht="15.25" customHeight="1" s="367">
      <c r="A37" s="1" t="n"/>
      <c r="B37" s="368" t="n"/>
      <c r="C37" s="55" t="n"/>
      <c r="D37" s="55" t="n"/>
      <c r="E37" s="55" t="n"/>
      <c r="F37" s="282" t="n"/>
      <c r="G37" s="282" t="n"/>
      <c r="H37" s="56" t="n"/>
      <c r="I37" s="53" t="n"/>
      <c r="J37" s="1" t="n"/>
      <c r="R37" s="5" t="n"/>
      <c r="V37" s="394" t="inlineStr">
        <is>
          <t>Heures qui auraient dû etre travaillées</t>
        </is>
      </c>
      <c r="X37" s="283">
        <f>W36</f>
        <v/>
      </c>
    </row>
    <row r="38" ht="15.25" customHeight="1" s="367">
      <c r="A38" s="1" t="n"/>
      <c r="B38" s="368" t="n"/>
      <c r="C38" s="55" t="n"/>
      <c r="D38" s="55" t="n"/>
      <c r="E38" s="55" t="n"/>
      <c r="F38" s="284" t="inlineStr">
        <is>
          <t>BRUT</t>
        </is>
      </c>
      <c r="G38" s="284" t="inlineStr">
        <is>
          <t>NET</t>
        </is>
      </c>
      <c r="H38" s="56" t="n"/>
      <c r="I38" s="53" t="n"/>
      <c r="J38" s="1" t="n"/>
      <c r="L38" s="32" t="n"/>
      <c r="R38" s="5" t="n"/>
      <c r="U38" t="inlineStr">
        <is>
          <t>Heures réellement travaillées</t>
        </is>
      </c>
      <c r="X38" s="283">
        <f>X36-G28</f>
        <v/>
      </c>
    </row>
    <row r="39" ht="15.25" customHeight="1" s="367">
      <c r="A39" s="1" t="n"/>
      <c r="B39" s="368" t="n"/>
      <c r="C39" s="391" t="inlineStr">
        <is>
          <t>Salaire mensuel habituel (1)</t>
        </is>
      </c>
      <c r="E39" s="55" t="n"/>
      <c r="F39" s="227">
        <f>'Données du contrat'!F27</f>
        <v/>
      </c>
      <c r="G39" s="227">
        <f>'Données du contrat'!G27</f>
        <v/>
      </c>
      <c r="H39" s="56" t="inlineStr">
        <is>
          <t>D</t>
        </is>
      </c>
      <c r="I39" s="53" t="n"/>
      <c r="J39" s="1" t="n"/>
      <c r="L39" s="32" t="n"/>
      <c r="R39" s="5" t="n"/>
    </row>
    <row r="40" ht="15.25" customHeight="1" s="367">
      <c r="A40" s="1" t="n"/>
      <c r="B40" s="368" t="n"/>
      <c r="C40" s="368" t="n"/>
      <c r="D40" s="150" t="inlineStr">
        <is>
          <t>Taux horaire du mois =D/A</t>
        </is>
      </c>
      <c r="E40" s="368" t="n"/>
      <c r="F40" s="228">
        <f>G40/(1-taux_cotis)</f>
        <v/>
      </c>
      <c r="G40" s="229">
        <f>IF(W36=0,0,'Données du contrat'!G27/(G33))</f>
        <v/>
      </c>
      <c r="H40" s="54" t="inlineStr">
        <is>
          <t>E</t>
        </is>
      </c>
      <c r="I40" s="53" t="n"/>
      <c r="J40" s="1" t="n"/>
      <c r="L40" s="32" t="n"/>
      <c r="R40" s="5" t="n"/>
    </row>
    <row r="41" ht="15.25" customHeight="1" s="367">
      <c r="A41" s="1" t="n"/>
      <c r="B41" s="368" t="n"/>
      <c r="C41" s="368" t="n"/>
      <c r="D41" s="392" t="inlineStr">
        <is>
          <t>Montant de l'absence à DEDUIRE du salaire mensualisé =E x C</t>
        </is>
      </c>
      <c r="E41" s="55" t="n"/>
      <c r="F41" s="230">
        <f>(G33-G34)*F40</f>
        <v/>
      </c>
      <c r="G41" s="231">
        <f>(G33-G34)*G40</f>
        <v/>
      </c>
      <c r="H41" s="54" t="inlineStr">
        <is>
          <t>F</t>
        </is>
      </c>
      <c r="I41" s="53" t="n"/>
      <c r="J41" s="1" t="n"/>
      <c r="R41" s="5" t="n"/>
    </row>
    <row r="42" ht="15.25" customHeight="1" s="367">
      <c r="A42" s="1" t="n"/>
      <c r="B42" s="368" t="n"/>
      <c r="C42" s="368" t="n"/>
      <c r="D42" s="392" t="n"/>
      <c r="E42" s="55" t="n"/>
      <c r="F42" s="229" t="n"/>
      <c r="G42" s="229" t="n"/>
      <c r="H42" s="57" t="n"/>
      <c r="I42" s="53" t="n"/>
      <c r="J42" s="1" t="n"/>
      <c r="R42" s="5" t="n"/>
    </row>
    <row r="43" ht="15.25" customHeight="1" s="367">
      <c r="A43" s="1" t="n"/>
      <c r="B43" s="368" t="n"/>
      <c r="C43" s="392">
        <f>IF(G36=0,"","Majoration des heures supplémentaires prévues et effectuées ")</f>
        <v/>
      </c>
      <c r="E43" s="368" t="n"/>
      <c r="F43" s="232">
        <f>G43/(1-taux_cotis)</f>
        <v/>
      </c>
      <c r="G43" s="229">
        <f>G36*'Données du contrat'!G26*'Données du contrat'!O19</f>
        <v/>
      </c>
      <c r="H43" s="57" t="n"/>
      <c r="I43" s="53" t="n"/>
      <c r="J43" s="1" t="n"/>
      <c r="R43" s="5" t="n"/>
    </row>
    <row r="44" ht="15.25" customHeight="1" s="367">
      <c r="A44" s="1" t="n"/>
      <c r="B44" s="368" t="n"/>
      <c r="C44" s="392">
        <f>IF(G29=0,"","Salaire des heures complémentaires")</f>
        <v/>
      </c>
      <c r="E44" s="58" t="n"/>
      <c r="F44" s="232">
        <f>G44/(1-taux_cotis)</f>
        <v/>
      </c>
      <c r="G44" s="229">
        <f>G29*'Données du contrat'!G26*'Données du contrat'!O20</f>
        <v/>
      </c>
      <c r="H44" s="57" t="n"/>
      <c r="I44" s="53" t="n"/>
      <c r="J44" s="1" t="n"/>
      <c r="L44" s="59" t="n"/>
      <c r="R44" s="5" t="n"/>
    </row>
    <row r="45" ht="15.25" customHeight="1" s="367" thickBot="1">
      <c r="A45" s="1" t="n"/>
      <c r="B45" s="368" t="n"/>
      <c r="C45" s="392">
        <f>IF(G30=0,"","Salaire des heures majorées non prévues (avec leur majoration)")</f>
        <v/>
      </c>
      <c r="E45" s="368" t="n"/>
      <c r="F45" s="232">
        <f>G45/(1-taux_cotis)</f>
        <v/>
      </c>
      <c r="G45" s="233">
        <f>G30*('Données du contrat'!G26*(1+'Données du contrat'!O19))</f>
        <v/>
      </c>
      <c r="H45" s="285" t="n"/>
      <c r="I45" s="53" t="n"/>
      <c r="J45" s="1" t="n"/>
      <c r="L45" s="59" t="n"/>
      <c r="R45" s="5" t="n"/>
    </row>
    <row r="46" ht="15.25" customHeight="1" s="367">
      <c r="A46" s="1" t="n"/>
      <c r="B46" s="368" t="n"/>
      <c r="C46" s="392" t="inlineStr">
        <is>
          <t>Total dû au titre des heures compl. et majorées, prévues ou non</t>
        </is>
      </c>
      <c r="E46" s="368" t="n"/>
      <c r="F46" s="234">
        <f>SUM(F43:F45)</f>
        <v/>
      </c>
      <c r="G46" s="235">
        <f>SUM(G43:G45)</f>
        <v/>
      </c>
      <c r="H46" s="286" t="inlineStr">
        <is>
          <t>G</t>
        </is>
      </c>
      <c r="I46" s="53" t="n"/>
      <c r="J46" s="1" t="n"/>
      <c r="N46" s="37" t="n"/>
      <c r="O46" s="154" t="n"/>
      <c r="R46" s="5" t="n"/>
    </row>
    <row r="47" ht="15.25" customHeight="1" s="367">
      <c r="A47" s="1" t="n"/>
      <c r="B47" s="368" t="n"/>
      <c r="C47" s="58" t="n"/>
      <c r="D47" s="406" t="inlineStr">
        <is>
          <t>Salaire à verser au titre du dernier mois  : D - F + G</t>
        </is>
      </c>
      <c r="E47" s="60" t="n"/>
      <c r="F47" s="236">
        <f>F39-F41+F46</f>
        <v/>
      </c>
      <c r="G47" s="237">
        <f>G39-G41+G46</f>
        <v/>
      </c>
      <c r="H47" s="287" t="n"/>
      <c r="I47" s="285" t="n"/>
      <c r="J47" s="1" t="n"/>
      <c r="N47" s="17" t="n"/>
      <c r="O47" s="238" t="n"/>
      <c r="R47" s="5" t="n"/>
    </row>
    <row r="48" ht="15.25" customHeight="1" s="367">
      <c r="A48" s="1" t="n"/>
      <c r="B48" s="368" t="n"/>
      <c r="C48" s="60" t="n"/>
      <c r="D48" s="60" t="n"/>
      <c r="E48" s="60" t="n"/>
      <c r="F48" s="239" t="n"/>
      <c r="G48" s="239" t="n"/>
      <c r="H48" s="287" t="n"/>
      <c r="I48" s="285" t="n"/>
      <c r="J48" s="1" t="n"/>
      <c r="N48" s="17" t="inlineStr">
        <is>
          <t>Nb hcomp déclarées</t>
        </is>
      </c>
      <c r="O48" s="288">
        <f>ROUND(G29,0)</f>
        <v/>
      </c>
      <c r="R48" s="5" t="n"/>
    </row>
    <row r="49" ht="15.25" customHeight="1" s="367" thickBot="1">
      <c r="A49" s="1" t="n"/>
      <c r="B49" s="368" t="n"/>
      <c r="C49" s="60" t="n"/>
      <c r="D49" s="406" t="inlineStr">
        <is>
          <t>Indemnités d'entretien dues au titre du dernier mois de travail (7)</t>
        </is>
      </c>
      <c r="E49" s="60" t="n"/>
      <c r="F49" s="239" t="n"/>
      <c r="G49" s="240">
        <f>SUM(AA5:AA35)</f>
        <v/>
      </c>
      <c r="H49" s="287" t="n"/>
      <c r="I49" s="285" t="n"/>
      <c r="J49" s="1" t="n"/>
      <c r="N49" s="23" t="inlineStr">
        <is>
          <t>Nb hsup déclarées à Pajemploi</t>
        </is>
      </c>
      <c r="O49" s="289">
        <f>IF(G28=0,ROUND(Z36+G30,0),MIN(ROUND(G47/G40,0),ROUND(Z36+G30,0)))</f>
        <v/>
      </c>
      <c r="R49" s="5" t="n"/>
    </row>
    <row r="50" ht="15.25" customHeight="1" s="367">
      <c r="A50" s="1" t="n"/>
      <c r="B50" s="368" t="n"/>
      <c r="C50" s="60" t="n"/>
      <c r="D50" s="406" t="inlineStr">
        <is>
          <t>Indemnités de repas dues au titre du dernier mois de travail (7)</t>
        </is>
      </c>
      <c r="E50" s="60" t="n"/>
      <c r="F50" s="239" t="n"/>
      <c r="G50" s="240">
        <f>SUM(AB5:AB35)</f>
        <v/>
      </c>
      <c r="H50" s="287" t="n"/>
      <c r="I50" s="285" t="n"/>
      <c r="J50" s="1" t="n"/>
      <c r="L50" s="376" t="inlineStr">
        <is>
          <t>(7) Modifiez ce montant si nécessaire (par exemple absence de l'enfant ou de l'assmat, heures complémentaires, etc.)</t>
        </is>
      </c>
      <c r="R50" s="5" t="n"/>
    </row>
    <row r="51" ht="15.25" customHeight="1" s="367">
      <c r="A51" s="1" t="n"/>
      <c r="B51" s="368" t="n"/>
      <c r="C51" s="60" t="n"/>
      <c r="D51" s="60" t="n"/>
      <c r="E51" s="60" t="n"/>
      <c r="F51" s="287" t="n"/>
      <c r="G51" s="287" t="n"/>
      <c r="H51" s="287" t="n"/>
      <c r="I51" s="285" t="n"/>
      <c r="J51" s="1" t="n"/>
      <c r="R51" s="5" t="n"/>
    </row>
    <row r="52" ht="15.25" customHeight="1" s="367">
      <c r="A52" s="1" t="n"/>
      <c r="B52" s="368" t="n"/>
      <c r="C52" s="393" t="inlineStr">
        <is>
          <t>Ces résultats sont reportés automatiquement sur l'onglet Solde de tout compte</t>
        </is>
      </c>
      <c r="H52" s="393" t="n"/>
      <c r="I52" s="285" t="n"/>
      <c r="J52" s="1" t="n"/>
      <c r="R52" s="5" t="n"/>
    </row>
    <row r="53" ht="15.25" customHeight="1" s="367">
      <c r="A53" s="1" t="n"/>
      <c r="B53" s="369">
        <f>CONCATENATE("Copyright www.zen-avec-mon-assmat.com                                   Conforme à la législation en vigueur au ",date_maj)</f>
        <v/>
      </c>
      <c r="J53" s="1" t="n"/>
      <c r="R53" s="5" t="n"/>
    </row>
    <row r="54" ht="15.25" customHeight="1" s="367">
      <c r="A54" s="1" t="n"/>
      <c r="B54" s="1" t="n"/>
      <c r="C54" s="1" t="n"/>
      <c r="D54" s="1" t="n"/>
      <c r="E54" s="1" t="n"/>
      <c r="F54" s="1" t="n"/>
      <c r="G54" s="1" t="n"/>
      <c r="H54" s="1" t="n"/>
      <c r="I54" s="35" t="n"/>
      <c r="J54" s="1" t="n"/>
      <c r="R54" s="5" t="n"/>
    </row>
    <row r="55" ht="15.25" customHeight="1" s="367">
      <c r="R55" s="5" t="n"/>
    </row>
  </sheetData>
  <sheetProtection selectLockedCells="1" selectUnlockedCells="0" algorithmName="SHA-512" sheet="1" objects="1" insertRows="1" insertHyperlinks="1" autoFilter="1" scenarios="1" formatColumns="1" deleteColumns="1" insertColumns="1" pivotTables="1" deleteRows="1" formatCells="1" saltValue="YMnFyi8v/KwjAH+rqUxTwQ==" formatRows="1" sort="1" spinCount="100000" hashValue="VbwG2kS2/J3jFMr/qY3/5Lib9VFzaw5vUS2pDrfwqlRKslrTcaw6q5sMhVnapNozf3CBw3htIzvilMc8XGDieA=="/>
  <mergeCells count="29">
    <mergeCell ref="C34:D34"/>
    <mergeCell ref="C45:D45"/>
    <mergeCell ref="C10:I11"/>
    <mergeCell ref="E14:I14"/>
    <mergeCell ref="C35:D35"/>
    <mergeCell ref="L18:L19"/>
    <mergeCell ref="F13:H13"/>
    <mergeCell ref="L8:L9"/>
    <mergeCell ref="L4:L5"/>
    <mergeCell ref="C44:D44"/>
    <mergeCell ref="C43:D43"/>
    <mergeCell ref="B53:I53"/>
    <mergeCell ref="C46:D46"/>
    <mergeCell ref="C8:I9"/>
    <mergeCell ref="H16:H17"/>
    <mergeCell ref="L34:L35"/>
    <mergeCell ref="L50:L51"/>
    <mergeCell ref="E2:I4"/>
    <mergeCell ref="E5:I6"/>
    <mergeCell ref="G16:G17"/>
    <mergeCell ref="C52:G52"/>
    <mergeCell ref="C39:D39"/>
    <mergeCell ref="L2:L3"/>
    <mergeCell ref="B15:I15"/>
    <mergeCell ref="C12:F12"/>
    <mergeCell ref="B27:D27"/>
    <mergeCell ref="C13:D13"/>
    <mergeCell ref="L29:L31"/>
    <mergeCell ref="F16:F17"/>
  </mergeCells>
  <dataValidations count="1">
    <dataValidation sqref="G25" showDropDown="0" showInputMessage="1" showErrorMessage="1" allowBlank="1" type="list">
      <formula1>l_jf</formula1>
      <formula2>0</formula2>
    </dataValidation>
  </dataValidations>
  <pageMargins left="0.7" right="0.7" top="0.75" bottom="0.75" header="0.511805555555555" footer="0.511805555555555"/>
  <pageSetup orientation="portrait" paperSize="9" firstPageNumber="0"/>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AB50"/>
  <sheetViews>
    <sheetView showGridLines="0" showRowColHeaders="0" zoomScaleNormal="100" workbookViewId="0">
      <selection activeCell="G14" sqref="G14:J14"/>
    </sheetView>
  </sheetViews>
  <sheetFormatPr baseColWidth="10" defaultColWidth="9.1640625" defaultRowHeight="15"/>
  <cols>
    <col width="2.6640625" customWidth="1" style="367" min="1" max="1"/>
    <col width="4.6640625" customWidth="1" style="367" min="2" max="2"/>
    <col width="26.5" customWidth="1" style="367" min="3" max="3"/>
    <col width="14.6640625" customWidth="1" style="367" min="5" max="5"/>
    <col width="4.5" customWidth="1" style="367" min="6" max="6"/>
    <col width="10.5" customWidth="1" style="367" min="7" max="7"/>
    <col width="14.6640625" customWidth="1" style="367" min="8" max="9"/>
    <col width="12.6640625" customWidth="1" style="367" min="10" max="10"/>
    <col width="5.6640625" customWidth="1" style="367" min="11" max="11"/>
    <col width="2.6640625" customWidth="1" style="367" min="12" max="12"/>
    <col width="2.83203125" customWidth="1" style="367" min="13" max="13"/>
    <col width="76.1640625" customWidth="1" style="367" min="14" max="14"/>
    <col hidden="1" width="4.5" customWidth="1" style="367" min="15" max="15"/>
    <col hidden="1" width="68.83203125" customWidth="1" style="367" min="16" max="16"/>
    <col hidden="1" width="10.6640625" customWidth="1" style="367" min="17" max="18"/>
    <col hidden="1" width="9.1640625" customWidth="1" style="367" min="19" max="19"/>
    <col width="9.1640625" customWidth="1" style="394" min="24" max="26"/>
  </cols>
  <sheetData>
    <row r="1" ht="15.25" customHeight="1" s="367">
      <c r="A1" s="1" t="n"/>
      <c r="B1" s="1" t="n"/>
      <c r="C1" s="1" t="n"/>
      <c r="D1" s="1" t="n"/>
      <c r="E1" s="1" t="n"/>
      <c r="F1" s="1" t="n"/>
      <c r="G1" s="1" t="n"/>
      <c r="H1" s="1" t="n"/>
      <c r="I1" s="1" t="n"/>
      <c r="J1" s="1" t="n"/>
      <c r="K1" s="1" t="n"/>
      <c r="L1" s="1" t="n"/>
    </row>
    <row r="2" ht="15.25" customHeight="1" s="367">
      <c r="A2" s="1" t="n"/>
      <c r="G2" s="390" t="inlineStr">
        <is>
          <t>contrat &lt;= 46 semaines (année incomplète)</t>
        </is>
      </c>
      <c r="L2" s="1" t="n"/>
      <c r="N2" s="383" t="inlineStr">
        <is>
          <t>Mode d'emploi</t>
        </is>
      </c>
      <c r="P2" s="5" t="n"/>
      <c r="Q2">
        <f>MONTH(G17)</f>
        <v/>
      </c>
      <c r="R2">
        <f>YEAR(G17)</f>
        <v/>
      </c>
    </row>
    <row r="3" ht="15.25" customHeight="1" s="367">
      <c r="A3" s="1" t="n"/>
      <c r="F3" s="149" t="inlineStr">
        <is>
          <t>1 action</t>
        </is>
      </c>
      <c r="L3" s="1" t="n"/>
      <c r="N3" s="384" t="n"/>
      <c r="P3" s="59" t="inlineStr">
        <is>
          <t>Données du contrat</t>
        </is>
      </c>
      <c r="T3" s="394" t="n"/>
      <c r="U3" s="394" t="n"/>
      <c r="V3" s="394" t="n"/>
      <c r="W3" s="394" t="n"/>
      <c r="Y3" s="36" t="n"/>
      <c r="Z3" s="36" t="n"/>
      <c r="AA3" s="274" t="n"/>
      <c r="AB3" s="274" t="n"/>
    </row>
    <row r="4" ht="15.25" customHeight="1" s="367">
      <c r="A4" s="1" t="n"/>
      <c r="F4" s="149" t="inlineStr">
        <is>
          <t>5 mn de préparation</t>
        </is>
      </c>
      <c r="L4" s="1" t="n"/>
      <c r="N4" s="385" t="inlineStr">
        <is>
          <t>Pour remplir cet onglet, avec les informations nécessaires au calcul de la régularisation de salaires, munissez-vous :</t>
        </is>
      </c>
      <c r="P4" s="61" t="inlineStr">
        <is>
          <t>Date d'embauche de votre assmat</t>
        </is>
      </c>
      <c r="Q4" s="62" t="n"/>
      <c r="R4" s="63">
        <f>'Données du contrat'!$F$14</f>
        <v/>
      </c>
      <c r="S4" s="62" t="n"/>
      <c r="T4" s="28" t="n"/>
      <c r="U4" s="28" t="n"/>
      <c r="V4" s="28" t="n"/>
      <c r="W4" s="394" t="n"/>
      <c r="X4" s="28" t="n"/>
      <c r="Y4" s="36" t="n"/>
      <c r="Z4" s="36" t="n"/>
      <c r="AA4" s="274" t="n"/>
      <c r="AB4" s="274" t="n"/>
    </row>
    <row r="5" ht="15.25" customHeight="1" s="367">
      <c r="A5" s="1" t="n"/>
      <c r="F5" s="149" t="inlineStr">
        <is>
          <t>5 mn de remplissage</t>
        </is>
      </c>
      <c r="G5" s="410" t="inlineStr">
        <is>
          <t>Régularisation de salaire dernière année</t>
        </is>
      </c>
      <c r="L5" s="1" t="n"/>
      <c r="N5" s="384" t="n"/>
      <c r="P5" s="61" t="inlineStr">
        <is>
          <t>Date de la mensualisation</t>
        </is>
      </c>
      <c r="Q5" s="62" t="n"/>
      <c r="R5" s="64">
        <f>'Données du contrat'!F15</f>
        <v/>
      </c>
      <c r="S5" s="62" t="n"/>
      <c r="T5" s="275" t="n"/>
      <c r="U5" s="5" t="n"/>
      <c r="W5" s="5" t="n"/>
      <c r="X5" s="28" t="n"/>
      <c r="Y5" s="36" t="n"/>
      <c r="Z5" s="40" t="n"/>
      <c r="AA5" s="290" t="n"/>
      <c r="AB5" s="290" t="n"/>
    </row>
    <row r="6" ht="15.25" customHeight="1" s="367">
      <c r="A6" s="1" t="n"/>
      <c r="L6" s="1" t="n"/>
      <c r="M6" s="19" t="n"/>
      <c r="N6" s="384" t="inlineStr">
        <is>
          <t>- du contrat de l'assistante maternelle</t>
        </is>
      </c>
      <c r="O6" s="19" t="n"/>
      <c r="P6" s="61" t="inlineStr">
        <is>
          <t>Dernier jour (travaillé / rémunéré) du contrat de travail (1)</t>
        </is>
      </c>
      <c r="Q6" s="61" t="n"/>
      <c r="R6" s="65">
        <f>'Données du contrat'!F16</f>
        <v/>
      </c>
      <c r="S6" s="61" t="n"/>
      <c r="T6" s="276" t="n"/>
      <c r="U6" s="5" t="n"/>
      <c r="W6" s="5" t="n"/>
      <c r="X6" s="28" t="n"/>
      <c r="Y6" s="36" t="n"/>
      <c r="Z6" s="40" t="n"/>
      <c r="AA6" s="290" t="n"/>
      <c r="AB6" s="290" t="n"/>
    </row>
    <row r="7" ht="15.25" customHeight="1" s="367">
      <c r="A7" s="1" t="n"/>
      <c r="B7" s="1" t="n"/>
      <c r="C7" s="1" t="n"/>
      <c r="D7" s="1" t="n"/>
      <c r="E7" s="1" t="n"/>
      <c r="F7" s="1" t="n"/>
      <c r="G7" s="1" t="n"/>
      <c r="H7" s="1" t="n"/>
      <c r="I7" s="1" t="n"/>
      <c r="J7" s="1" t="n"/>
      <c r="K7" s="1" t="n"/>
      <c r="L7" s="1" t="n"/>
      <c r="N7" s="72" t="inlineStr">
        <is>
          <t>- des fiches de paie et détails des 12 derniers mois (congés, absences, etc)</t>
        </is>
      </c>
      <c r="P7" s="61" t="inlineStr">
        <is>
          <t>Lendemain de ce dernier jour</t>
        </is>
      </c>
      <c r="Q7" s="61" t="n"/>
      <c r="R7" s="5">
        <f>R6+1</f>
        <v/>
      </c>
      <c r="S7" s="61" t="n"/>
      <c r="T7" s="275" t="n"/>
      <c r="U7" s="5" t="n"/>
      <c r="W7" s="5" t="n"/>
      <c r="X7" s="28" t="n"/>
      <c r="Y7" s="36" t="n"/>
      <c r="Z7" s="40" t="n"/>
      <c r="AA7" s="290" t="n"/>
      <c r="AB7" s="290" t="n"/>
    </row>
    <row r="8" ht="15.25" customHeight="1" s="367">
      <c r="A8" s="1" t="n"/>
      <c r="B8" s="368" t="n"/>
      <c r="C8" s="403" t="inlineStr">
        <is>
          <t>Cet onglet vous permet de calculer la différence entre le nombre de semaines travaillées par l'assistante maternelle et le nombre de semaines rémunérées (régularisation de salaires en fin de contrat). Ce montant ne peut être qu'en faveur de l'assmat.</t>
        </is>
      </c>
      <c r="K8" s="66" t="n"/>
      <c r="L8" s="1" t="n"/>
      <c r="N8" s="148" t="inlineStr">
        <is>
          <t>En savoir plus</t>
        </is>
      </c>
      <c r="P8" t="inlineStr">
        <is>
          <t>Date anniversaire de la mensualisation</t>
        </is>
      </c>
      <c r="R8" s="5">
        <f>IF(DATE(YEAR(R6),MONTH(R5),DAY(R5))&lt;R6,DATE(YEAR(R6),MONTH(R5),DAY(R5)),DATE(YEAR(R6)-1,MONTH(R5),DAY(R5)))</f>
        <v/>
      </c>
      <c r="S8" s="61" t="n"/>
      <c r="T8" s="275" t="n"/>
      <c r="U8" s="5" t="n"/>
      <c r="W8" s="5" t="n"/>
      <c r="X8" s="28" t="n"/>
      <c r="Y8" s="36" t="n"/>
      <c r="Z8" s="40" t="n"/>
      <c r="AA8" s="290" t="n"/>
      <c r="AB8" s="290" t="n"/>
    </row>
    <row r="9" ht="15.25" customHeight="1" s="367">
      <c r="A9" s="1" t="n"/>
      <c r="B9" s="368" t="n"/>
      <c r="K9" s="66" t="n"/>
      <c r="L9" s="1" t="n"/>
      <c r="N9" s="411" t="inlineStr">
        <is>
          <t>Voici le principe de ce calcul de régularisation : on compare le nombre d'heures travaillées (ou qui auraient été travaillées sans les absences IMPREVUES de l'assmat ou de l'enfant) et le nombre d'heures rémunérées. Si le différentiel est positif, il doit être payé à l'assmat car cela veut dire que toutes ses heures travaillées ne lui ont pas été rémunérées.
On ne prend pas en compte dans ce calcul : 
- les heures complémentaires / supplémentaires : elles ont déjà été payées le mois où elles ont été faites
- les absences de l'enfant ou de l'assmat (sauf celles prévues au contrat) car elles ont déjà été déduites du salaire
- les jours fériés car ils sont assimilés à des jours travaillés</t>
        </is>
      </c>
      <c r="P9" s="275" t="n"/>
      <c r="Q9" s="275" t="n"/>
      <c r="R9" s="275" t="n"/>
      <c r="S9" s="275" t="n"/>
      <c r="T9" s="275" t="n"/>
      <c r="U9" s="5" t="n"/>
      <c r="W9" s="5" t="n"/>
      <c r="X9" s="28" t="n"/>
      <c r="Y9" s="36" t="n"/>
      <c r="Z9" s="40" t="n"/>
      <c r="AA9" s="290" t="n"/>
      <c r="AB9" s="290" t="n"/>
    </row>
    <row r="10" ht="15.25" customHeight="1" s="367">
      <c r="A10" s="1" t="n"/>
      <c r="B10" s="368" t="n"/>
      <c r="K10" s="66" t="n"/>
      <c r="L10" s="1" t="n"/>
      <c r="N10" s="384" t="n"/>
      <c r="T10" s="275" t="n"/>
      <c r="U10" s="5" t="n"/>
      <c r="W10" s="5" t="n"/>
      <c r="X10" s="28" t="n"/>
      <c r="Y10" s="36" t="n"/>
      <c r="Z10" s="40" t="n"/>
      <c r="AA10" s="290" t="n"/>
      <c r="AB10" s="290" t="n"/>
    </row>
    <row r="11" ht="15.25" customHeight="1" s="367">
      <c r="A11" s="1" t="n"/>
      <c r="B11" s="368" t="n"/>
      <c r="C11" s="368" t="inlineStr">
        <is>
          <t>Ce montant est ensuite reporté automatiquement dans l'onglet Solde de tout compte.</t>
        </is>
      </c>
      <c r="D11" s="368" t="n"/>
      <c r="E11" s="368" t="n"/>
      <c r="F11" s="368" t="n"/>
      <c r="G11" s="368" t="n"/>
      <c r="H11" s="22" t="n"/>
      <c r="I11" s="22" t="n"/>
      <c r="J11" s="22" t="n"/>
      <c r="K11" s="66" t="n"/>
      <c r="L11" s="1" t="n"/>
      <c r="N11" s="384" t="n"/>
      <c r="Q11" s="5" t="n"/>
      <c r="R11" s="67" t="n"/>
      <c r="T11" s="275" t="n"/>
      <c r="U11" s="5" t="n"/>
      <c r="W11" s="5" t="n"/>
      <c r="X11" s="28" t="n"/>
      <c r="Y11" s="36" t="n"/>
      <c r="Z11" s="40" t="n"/>
      <c r="AA11" s="290" t="n"/>
      <c r="AB11" s="290" t="n"/>
    </row>
    <row r="12" ht="15.25" customHeight="1" s="367">
      <c r="A12" s="1" t="n"/>
      <c r="B12" s="368" t="n"/>
      <c r="C12" s="414" t="inlineStr">
        <is>
          <t>Si vous utilisez la fiche de paie Zen avec mon Assmat, reportez directement le solde de l'onglet Compteur d'heures dans la case ci-dessous, inutile de remplir les autres cases</t>
        </is>
      </c>
      <c r="K12" s="66" t="n"/>
      <c r="L12" s="1" t="n"/>
      <c r="N12" s="384" t="n"/>
      <c r="T12" s="275" t="n"/>
      <c r="U12" s="5" t="n"/>
      <c r="W12" s="5" t="n"/>
      <c r="X12" s="28" t="n"/>
      <c r="Y12" s="36" t="n"/>
      <c r="Z12" s="40" t="n"/>
      <c r="AA12" s="290" t="n"/>
      <c r="AB12" s="290" t="n"/>
    </row>
    <row r="13" ht="15.25" customHeight="1" s="367">
      <c r="A13" s="1" t="n"/>
      <c r="B13" s="368" t="n"/>
      <c r="K13" s="66" t="n"/>
      <c r="L13" s="1" t="n"/>
      <c r="N13" s="384" t="n"/>
      <c r="P13" s="5" t="n"/>
      <c r="T13" s="275" t="n"/>
      <c r="U13" s="5" t="n"/>
      <c r="W13" s="5" t="n"/>
      <c r="X13" s="28" t="n"/>
      <c r="Y13" s="36" t="n"/>
      <c r="Z13" s="40" t="n"/>
      <c r="AA13" s="290" t="n"/>
      <c r="AB13" s="290" t="n"/>
    </row>
    <row r="14" ht="15.25" customHeight="1" s="367">
      <c r="A14" s="1" t="n"/>
      <c r="B14" s="368" t="n"/>
      <c r="C14" s="368" t="inlineStr">
        <is>
          <t>Une fois cet onglet rempli, vous pouvez ensuite :</t>
        </is>
      </c>
      <c r="D14" s="368" t="n"/>
      <c r="E14" s="368" t="n"/>
      <c r="F14" s="368" t="n"/>
      <c r="G14" s="387" t="inlineStr">
        <is>
          <t>- aller calculer les congés payés dus</t>
        </is>
      </c>
      <c r="H14" s="388" t="n"/>
      <c r="I14" s="388" t="n"/>
      <c r="J14" s="388" t="n"/>
      <c r="K14" s="66" t="n"/>
      <c r="L14" s="1" t="n"/>
      <c r="N14" s="384" t="n"/>
      <c r="P14" s="5" t="n"/>
      <c r="T14" s="275" t="n"/>
      <c r="U14" s="5" t="n"/>
      <c r="W14" s="5" t="n"/>
      <c r="X14" s="28" t="n"/>
      <c r="Y14" s="36" t="n"/>
      <c r="Z14" s="40" t="n"/>
      <c r="AA14" s="290" t="n"/>
      <c r="AB14" s="290" t="n"/>
    </row>
    <row r="15" ht="15.25" customHeight="1" s="367">
      <c r="A15" s="1" t="n"/>
      <c r="B15" s="421" t="n"/>
      <c r="C15" s="120" t="n"/>
      <c r="D15" s="120" t="n"/>
      <c r="E15" s="120" t="n"/>
      <c r="F15" s="120" t="n"/>
      <c r="G15" s="120" t="n"/>
      <c r="H15" s="120" t="n"/>
      <c r="I15" s="120" t="n"/>
      <c r="J15" s="378" t="n"/>
      <c r="K15" s="378" t="n"/>
      <c r="L15" s="1" t="n"/>
      <c r="N15" s="384" t="n"/>
      <c r="P15" s="116" t="n"/>
      <c r="T15" s="275" t="n"/>
      <c r="U15" s="5" t="n"/>
      <c r="W15" s="5" t="n"/>
      <c r="X15" s="28" t="n"/>
      <c r="Y15" s="36" t="n"/>
      <c r="Z15" s="40" t="n"/>
      <c r="AA15" s="290" t="n"/>
      <c r="AB15" s="290" t="n"/>
    </row>
    <row r="16" ht="15.25" customHeight="1" s="367">
      <c r="A16" s="1" t="n"/>
      <c r="B16" s="421" t="n"/>
      <c r="C16" s="378" t="n"/>
      <c r="D16" s="378" t="n"/>
      <c r="E16" s="377" t="inlineStr">
        <is>
          <t>Date anniversaire de la mensualisation (1)</t>
        </is>
      </c>
      <c r="F16" s="120" t="n"/>
      <c r="G16" s="415">
        <f>R8</f>
        <v/>
      </c>
      <c r="I16" s="120" t="n"/>
      <c r="J16" s="120" t="n"/>
      <c r="K16" s="291" t="n"/>
      <c r="L16" s="1" t="n"/>
      <c r="N16" s="384" t="n"/>
      <c r="P16" s="115" t="n"/>
      <c r="T16" s="275" t="n"/>
      <c r="U16" s="5" t="n"/>
      <c r="W16" s="5" t="n"/>
      <c r="X16" s="28" t="n"/>
      <c r="Y16" s="36" t="n"/>
      <c r="Z16" s="40" t="n"/>
      <c r="AA16" s="290" t="n"/>
      <c r="AB16" s="290" t="n"/>
    </row>
    <row r="17" ht="15.25" customHeight="1" s="367">
      <c r="A17" s="1" t="n"/>
      <c r="B17" s="421" t="n"/>
      <c r="C17" s="117" t="n"/>
      <c r="D17" s="117" t="n"/>
      <c r="E17" s="377" t="inlineStr">
        <is>
          <t>Dernier jour rémunéré du contrat de travail (1)</t>
        </is>
      </c>
      <c r="F17" s="120" t="n"/>
      <c r="G17" s="416">
        <f>R6</f>
        <v/>
      </c>
      <c r="I17" s="120" t="n"/>
      <c r="J17" s="292" t="n"/>
      <c r="K17" s="292" t="n"/>
      <c r="L17" s="1" t="n"/>
      <c r="N17" s="405" t="n"/>
      <c r="P17" t="inlineStr">
        <is>
          <t>Le 1er jour est un ?</t>
        </is>
      </c>
      <c r="T17" s="275" t="n"/>
      <c r="U17" s="5" t="n"/>
      <c r="W17" s="5" t="n"/>
      <c r="X17" s="28" t="n"/>
      <c r="Y17" s="36" t="n"/>
      <c r="Z17" s="40" t="n"/>
      <c r="AA17" s="290" t="n"/>
      <c r="AB17" s="290" t="n"/>
    </row>
    <row r="18" ht="15.25" customHeight="1" s="367">
      <c r="A18" s="1" t="n"/>
      <c r="B18" s="421" t="n"/>
      <c r="C18" s="117" t="n"/>
      <c r="D18" s="117" t="n"/>
      <c r="E18" s="377" t="n"/>
      <c r="F18" s="120" t="n"/>
      <c r="G18" s="120" t="n"/>
      <c r="H18" s="293" t="n"/>
      <c r="I18" s="294" t="n"/>
      <c r="J18" s="294" t="n"/>
      <c r="K18" s="294" t="n"/>
      <c r="L18" s="1" t="n"/>
      <c r="P18">
        <f>WEEKDAY(G16)</f>
        <v/>
      </c>
      <c r="Q18" t="inlineStr">
        <is>
          <t>1=dimanche, 2=lundi etc</t>
        </is>
      </c>
      <c r="T18" s="278" t="n"/>
      <c r="U18" s="5" t="n"/>
      <c r="W18" s="5" t="n"/>
      <c r="X18" s="28" t="n"/>
      <c r="Y18" s="36" t="n"/>
      <c r="Z18" s="40" t="n"/>
      <c r="AA18" s="290" t="n"/>
      <c r="AB18" s="290" t="n"/>
    </row>
    <row r="19" ht="15.25" customHeight="1" s="367">
      <c r="A19" s="1" t="n"/>
      <c r="B19" s="421" t="n"/>
      <c r="C19" s="117" t="n"/>
      <c r="D19" s="117" t="n"/>
      <c r="E19" s="377" t="inlineStr">
        <is>
          <t>Nombre de semaines annuel de travail prévu au contrat (1)</t>
        </is>
      </c>
      <c r="F19" s="120" t="n"/>
      <c r="G19" s="295">
        <f>+'Données du contrat'!F21</f>
        <v/>
      </c>
      <c r="H19" s="120" t="n"/>
      <c r="I19" s="294" t="n"/>
      <c r="J19" s="294" t="n"/>
      <c r="K19" s="294" t="n"/>
      <c r="L19" s="1" t="n"/>
      <c r="P19" t="inlineStr">
        <is>
          <t>Le dernier jour est un ?</t>
        </is>
      </c>
      <c r="T19" s="278" t="n"/>
      <c r="U19" s="5" t="n"/>
      <c r="W19" s="5" t="n"/>
      <c r="X19" s="28" t="n"/>
      <c r="Y19" s="36" t="n"/>
      <c r="Z19" s="40" t="n"/>
      <c r="AA19" s="290" t="n"/>
      <c r="AB19" s="290" t="n"/>
    </row>
    <row r="20" ht="15.25" customHeight="1" s="367">
      <c r="A20" s="1" t="n"/>
      <c r="B20" s="421" t="n"/>
      <c r="C20" s="117" t="n"/>
      <c r="D20" s="117" t="n"/>
      <c r="E20" s="117" t="n"/>
      <c r="F20" s="120" t="n"/>
      <c r="G20" s="120" t="n"/>
      <c r="H20" s="293" t="n"/>
      <c r="I20" s="294" t="n"/>
      <c r="J20" s="294" t="n"/>
      <c r="K20" s="294" t="n"/>
      <c r="L20" s="1" t="n"/>
      <c r="N20" t="inlineStr">
        <is>
          <t>(1) Données reprises des onglets précédents</t>
        </is>
      </c>
      <c r="P20">
        <f>WEEKDAY(G17)</f>
        <v/>
      </c>
      <c r="T20" s="278" t="n"/>
      <c r="U20" s="5" t="n"/>
      <c r="W20" s="5" t="n"/>
      <c r="X20" s="28" t="n"/>
      <c r="Y20" s="36" t="n"/>
      <c r="Z20" s="40" t="n"/>
      <c r="AA20" s="290" t="n"/>
      <c r="AB20" s="290" t="n"/>
    </row>
    <row r="21" ht="15.25" customHeight="1" s="367">
      <c r="A21" s="1" t="n"/>
      <c r="B21" s="413">
        <f>CONCATENATE("   Entre le ",TEXT($R$8,"j mmmm aaaa")," et le ",TEXT($R$6,"j mmmm aaaa"))</f>
        <v/>
      </c>
      <c r="H21" s="417">
        <f>CONCATENATE( "(",P22," semaines complètes)")</f>
        <v/>
      </c>
      <c r="J21" s="294" t="n"/>
      <c r="K21" s="294" t="n"/>
      <c r="L21" s="1" t="n"/>
      <c r="P21" t="inlineStr">
        <is>
          <t>Nombre de semaines complètes entre les deux dates</t>
        </is>
      </c>
      <c r="T21" s="278" t="n"/>
      <c r="U21" s="5" t="n"/>
      <c r="W21" s="5" t="n"/>
      <c r="X21" s="28" t="n"/>
      <c r="Y21" s="36" t="n"/>
      <c r="Z21" s="40" t="n"/>
      <c r="AA21" s="290" t="n"/>
      <c r="AB21" s="290" t="n"/>
    </row>
    <row r="22" ht="15.25" customHeight="1" s="367">
      <c r="A22" s="1" t="n"/>
      <c r="B22" s="293" t="n"/>
      <c r="C22" s="293" t="n"/>
      <c r="D22" s="293" t="n"/>
      <c r="E22" s="293" t="n"/>
      <c r="F22" s="293" t="n"/>
      <c r="G22" s="293" t="n"/>
      <c r="H22" s="293" t="n"/>
      <c r="I22" s="294" t="n"/>
      <c r="J22" s="294" t="n"/>
      <c r="K22" s="294" t="n"/>
      <c r="L22" s="1" t="n"/>
      <c r="P22">
        <f>ROUNDDOWN((G17-G16+1)/7,0)</f>
        <v/>
      </c>
      <c r="T22" s="278" t="n"/>
      <c r="U22" s="5" t="n"/>
      <c r="W22" s="5" t="n"/>
      <c r="X22" s="28" t="n"/>
      <c r="Y22" s="36" t="n"/>
      <c r="Z22" s="40" t="n"/>
      <c r="AA22" s="290" t="n"/>
      <c r="AB22" s="290" t="n"/>
    </row>
    <row r="23" ht="15.25" customHeight="1" s="367">
      <c r="A23" s="1" t="n"/>
      <c r="B23" s="421" t="n"/>
      <c r="C23" s="409">
        <f>CONCATENATE("Sur les ",52-'Données du contrat'!F21," semaines d'absence prévues au contrat, nombre de semaines posées entre le ",TEXT(R8,"j mmm aa")," et le ",TEXT(R6,"j mmm aa")," (2)")</f>
        <v/>
      </c>
      <c r="H23" s="377" t="n"/>
      <c r="I23" s="294" t="n"/>
      <c r="J23" s="294" t="n"/>
      <c r="K23" s="294" t="n"/>
      <c r="L23" s="1" t="n"/>
      <c r="P23" t="inlineStr">
        <is>
          <t>Date qui tombe juste en nombre de semaines</t>
        </is>
      </c>
      <c r="T23" s="278" t="n"/>
      <c r="U23" s="5" t="n"/>
      <c r="W23" s="5" t="n"/>
      <c r="X23" s="28" t="n"/>
      <c r="Y23" s="36" t="n"/>
      <c r="Z23" s="40" t="n"/>
      <c r="AA23" s="290" t="n"/>
      <c r="AB23" s="290" t="n"/>
    </row>
    <row r="24" ht="15.25" customHeight="1" s="367">
      <c r="A24" s="1" t="n"/>
      <c r="B24" s="421" t="n"/>
      <c r="H24" s="377" t="n"/>
      <c r="I24" s="296" t="n"/>
      <c r="J24" s="294" t="n"/>
      <c r="K24" s="294" t="n"/>
      <c r="L24" s="1" t="n"/>
      <c r="N24" s="376" t="inlineStr">
        <is>
          <t>(2) Absences planifiées, prévues au contrat (correspondant généralement aux congés des parents) + congés payés de l'assistante maternelle</t>
        </is>
      </c>
      <c r="P24" s="5">
        <f>+G16+P22*7-1</f>
        <v/>
      </c>
      <c r="T24" s="278" t="n"/>
      <c r="U24" s="5" t="n"/>
      <c r="W24" s="5" t="n"/>
      <c r="X24" s="28" t="n"/>
      <c r="Y24" s="36" t="n"/>
      <c r="Z24" s="40" t="n"/>
      <c r="AA24" s="290" t="n"/>
      <c r="AB24" s="290" t="n"/>
    </row>
    <row r="25" ht="15.25" customHeight="1" s="367">
      <c r="A25" s="1" t="n"/>
      <c r="B25" s="421" t="n"/>
      <c r="H25" s="421" t="n"/>
      <c r="I25" s="428" t="n"/>
      <c r="J25" s="294" t="n"/>
      <c r="K25" s="294" t="n"/>
      <c r="L25" s="1" t="n"/>
      <c r="P25" t="inlineStr">
        <is>
          <t>Entre cette date et la fin de contrat</t>
        </is>
      </c>
      <c r="T25" s="278" t="n"/>
      <c r="U25" s="5" t="n"/>
      <c r="W25" s="5" t="n"/>
      <c r="X25" s="28" t="n"/>
      <c r="Y25" s="36" t="n"/>
      <c r="Z25" s="40" t="n"/>
      <c r="AA25" s="290" t="n"/>
      <c r="AB25" s="290" t="n"/>
    </row>
    <row r="26" ht="15.25" customHeight="1" s="367">
      <c r="A26" s="1" t="n"/>
      <c r="B26" s="421" t="n"/>
      <c r="C26" s="117" t="n"/>
      <c r="D26" s="117" t="n"/>
      <c r="E26" s="293" t="n"/>
      <c r="F26" s="293" t="n"/>
      <c r="G26" s="421" t="n"/>
      <c r="H26" s="421" t="n"/>
      <c r="I26" s="421" t="n"/>
      <c r="J26" s="294" t="n"/>
      <c r="K26" s="294" t="n"/>
      <c r="L26" s="1" t="n"/>
      <c r="N26" s="32" t="n"/>
      <c r="P26" s="5">
        <f>IF(P24=G17,"",P24+1)</f>
        <v/>
      </c>
      <c r="Q26">
        <f>IF(P26="","",WEEKDAY(P26))</f>
        <v/>
      </c>
      <c r="T26" s="278" t="n"/>
      <c r="U26" s="5" t="n"/>
      <c r="W26" s="5" t="n"/>
      <c r="X26" s="28" t="n"/>
      <c r="Y26" s="36" t="n"/>
      <c r="Z26" s="40" t="n"/>
      <c r="AA26" s="290" t="n"/>
      <c r="AB26" s="290" t="n"/>
    </row>
    <row r="27" ht="15.25" customHeight="1" s="367">
      <c r="A27" s="1" t="n"/>
      <c r="B27" s="421" t="n"/>
      <c r="C27" s="143" t="n"/>
      <c r="D27" s="117" t="n"/>
      <c r="E27" s="418" t="inlineStr">
        <is>
          <t>Nb d'h travaillées habituellement (1)</t>
        </is>
      </c>
      <c r="F27" s="420" t="inlineStr">
        <is>
          <t>Nb de jours sur la période</t>
        </is>
      </c>
      <c r="H27" s="418" t="inlineStr">
        <is>
          <t>Nb j abs. (abs prévues au contrat)</t>
        </is>
      </c>
      <c r="I27" s="420" t="inlineStr">
        <is>
          <t>Horaire total sur la période</t>
        </is>
      </c>
      <c r="J27" s="294" t="n"/>
      <c r="K27" s="294" t="n"/>
      <c r="L27" s="1" t="n"/>
      <c r="N27" s="32" t="n"/>
      <c r="P27" s="5">
        <f>IF(P26="","",IF(P26=$G$17,"",P26+1))</f>
        <v/>
      </c>
      <c r="Q27">
        <f>IF(P27="","",WEEKDAY(P27))</f>
        <v/>
      </c>
      <c r="T27" s="278" t="n"/>
      <c r="U27" s="5" t="n"/>
      <c r="W27" s="5" t="n"/>
      <c r="X27" s="28" t="n"/>
      <c r="Y27" s="36" t="n"/>
      <c r="Z27" s="40" t="n"/>
      <c r="AA27" s="290" t="n"/>
      <c r="AB27" s="290" t="n"/>
    </row>
    <row r="28" ht="15.25" customHeight="1" s="367">
      <c r="A28" s="1" t="n"/>
      <c r="B28" s="421" t="n"/>
      <c r="C28" s="144" t="n"/>
      <c r="D28" s="144" t="n"/>
      <c r="E28" s="419" t="n"/>
      <c r="H28" s="419" t="n"/>
      <c r="J28" s="144" t="n"/>
      <c r="K28" s="294" t="n"/>
      <c r="L28" s="1" t="n"/>
      <c r="P28" s="5">
        <f>IF(P27="","",IF(P27=$G$17,"",P27+1))</f>
        <v/>
      </c>
      <c r="Q28">
        <f>IF(P28="","",WEEKDAY(P28))</f>
        <v/>
      </c>
      <c r="T28" s="5" t="n"/>
      <c r="U28" s="5" t="n"/>
      <c r="W28" s="5" t="n"/>
      <c r="X28" s="28" t="n"/>
      <c r="Y28" s="36" t="n"/>
      <c r="Z28" s="40" t="n"/>
      <c r="AA28" s="290" t="n"/>
      <c r="AB28" s="290" t="n"/>
    </row>
    <row r="29" ht="15.25" customHeight="1" s="367">
      <c r="A29" s="1" t="n"/>
      <c r="B29" s="421" t="n"/>
      <c r="C29" s="144" t="n"/>
      <c r="D29" s="117" t="inlineStr">
        <is>
          <t>Lundi</t>
        </is>
      </c>
      <c r="E29" s="297">
        <f>+'Salaire du dernier mois '!F18</f>
        <v/>
      </c>
      <c r="F29" s="412">
        <f>$P$22+Q33</f>
        <v/>
      </c>
      <c r="H29" s="147">
        <f>+$I$24</f>
        <v/>
      </c>
      <c r="I29" s="298">
        <f>+(F29-H29)*E29</f>
        <v/>
      </c>
      <c r="J29" s="144" t="n"/>
      <c r="K29" s="294" t="n"/>
      <c r="L29" s="1" t="n"/>
      <c r="P29" s="5">
        <f>IF(P28="","",IF(P28=$G$17,"",P28+1))</f>
        <v/>
      </c>
      <c r="Q29">
        <f>IF(P29="","",WEEKDAY(P29))</f>
        <v/>
      </c>
      <c r="T29" s="5" t="n"/>
      <c r="U29" s="5" t="n"/>
      <c r="W29" s="5" t="n"/>
      <c r="X29" s="28" t="n"/>
      <c r="Y29" s="36" t="n"/>
      <c r="Z29" s="40" t="n"/>
      <c r="AA29" s="290" t="n"/>
      <c r="AB29" s="290" t="n"/>
    </row>
    <row r="30" ht="15.25" customHeight="1" s="367">
      <c r="A30" s="1" t="n"/>
      <c r="B30" s="421" t="n"/>
      <c r="C30" s="144" t="n"/>
      <c r="D30" s="117" t="inlineStr">
        <is>
          <t>Mardi</t>
        </is>
      </c>
      <c r="E30" s="297">
        <f>+'Salaire du dernier mois '!F19</f>
        <v/>
      </c>
      <c r="F30" s="412">
        <f>$P$22+Q34</f>
        <v/>
      </c>
      <c r="H30" s="147">
        <f>+$I$24</f>
        <v/>
      </c>
      <c r="I30" s="298">
        <f>+(F30-H30)*E30</f>
        <v/>
      </c>
      <c r="J30" s="144" t="n"/>
      <c r="K30" s="294" t="n"/>
      <c r="L30" s="1" t="n"/>
      <c r="N30" s="32" t="n"/>
      <c r="P30" s="5">
        <f>IF(P29="","",IF(P29=$G$17,"",P29+1))</f>
        <v/>
      </c>
      <c r="Q30">
        <f>IF(P30="","",WEEKDAY(P30))</f>
        <v/>
      </c>
      <c r="T30" s="5" t="n"/>
      <c r="U30" s="5" t="n"/>
      <c r="W30" s="5" t="n"/>
      <c r="X30" s="28" t="n"/>
      <c r="Y30" s="36" t="n"/>
      <c r="Z30" s="40" t="n"/>
      <c r="AA30" s="290" t="n"/>
      <c r="AB30" s="290" t="n"/>
    </row>
    <row r="31" ht="15.25" customHeight="1" s="367">
      <c r="A31" s="1" t="n"/>
      <c r="B31" s="421" t="n"/>
      <c r="C31" s="144" t="n"/>
      <c r="D31" s="117" t="inlineStr">
        <is>
          <t>Mercredi</t>
        </is>
      </c>
      <c r="E31" s="297">
        <f>+'Salaire du dernier mois '!F20</f>
        <v/>
      </c>
      <c r="F31" s="412">
        <f>$P$22+Q35</f>
        <v/>
      </c>
      <c r="H31" s="147">
        <f>+$I$24</f>
        <v/>
      </c>
      <c r="I31" s="298">
        <f>+(F31-H31)*E31</f>
        <v/>
      </c>
      <c r="J31" s="144" t="n"/>
      <c r="K31" s="294" t="n"/>
      <c r="L31" s="1" t="n"/>
      <c r="P31" s="5">
        <f>IF(P30="","",IF(P30=$G$17,"",P30+1))</f>
        <v/>
      </c>
      <c r="Q31">
        <f>IF(P31="","",WEEKDAY(P31))</f>
        <v/>
      </c>
      <c r="T31" s="5" t="n"/>
      <c r="U31" s="5" t="n"/>
      <c r="W31" s="5" t="n"/>
      <c r="X31" s="28" t="n"/>
      <c r="Y31" s="36" t="n"/>
      <c r="Z31" s="40" t="n"/>
      <c r="AA31" s="290" t="n"/>
      <c r="AB31" s="290" t="n"/>
    </row>
    <row r="32" ht="15.25" customHeight="1" s="367">
      <c r="A32" s="1" t="n"/>
      <c r="B32" s="421" t="n"/>
      <c r="C32" s="144" t="n"/>
      <c r="D32" s="117" t="inlineStr">
        <is>
          <t>Jeudi</t>
        </is>
      </c>
      <c r="E32" s="297">
        <f>+'Salaire du dernier mois '!F21</f>
        <v/>
      </c>
      <c r="F32" s="412">
        <f>$P$22+Q36</f>
        <v/>
      </c>
      <c r="H32" s="147">
        <f>+$I$24</f>
        <v/>
      </c>
      <c r="I32" s="298">
        <f>+(F32-H32)*E32</f>
        <v/>
      </c>
      <c r="J32" s="144" t="n"/>
      <c r="K32" s="294" t="n"/>
      <c r="L32" s="1" t="n"/>
      <c r="P32" t="inlineStr">
        <is>
          <t>Jours entre 1er jour + nombre de semaines complètes</t>
        </is>
      </c>
      <c r="R32" t="inlineStr">
        <is>
          <t>Nb d'h</t>
        </is>
      </c>
      <c r="T32" s="5" t="n"/>
      <c r="U32" s="5" t="n"/>
      <c r="W32" s="5" t="n"/>
      <c r="X32" s="28" t="n"/>
      <c r="Y32" s="36" t="n"/>
      <c r="Z32" s="40" t="n"/>
      <c r="AA32" s="290" t="n"/>
      <c r="AB32" s="290" t="n"/>
    </row>
    <row r="33" ht="15.25" customHeight="1" s="367">
      <c r="A33" s="1" t="n"/>
      <c r="B33" s="421" t="n"/>
      <c r="C33" s="144" t="n"/>
      <c r="D33" s="117" t="inlineStr">
        <is>
          <t>Vendredi</t>
        </is>
      </c>
      <c r="E33" s="297">
        <f>+'Salaire du dernier mois '!F22</f>
        <v/>
      </c>
      <c r="F33" s="412">
        <f>$P$22+Q37</f>
        <v/>
      </c>
      <c r="H33" s="147">
        <f>+$I$24</f>
        <v/>
      </c>
      <c r="I33" s="298">
        <f>+(F33-H33)*E33</f>
        <v/>
      </c>
      <c r="J33" s="144" t="n"/>
      <c r="K33" s="294" t="n"/>
      <c r="L33" s="1" t="n"/>
      <c r="M33" s="19" t="n"/>
      <c r="N33" s="32" t="n"/>
      <c r="O33" s="19" t="n"/>
      <c r="P33" t="inlineStr">
        <is>
          <t>Nb de lundis</t>
        </is>
      </c>
      <c r="Q33">
        <f>COUNTIF($Q$26:$Q$32,"2")</f>
        <v/>
      </c>
      <c r="R33">
        <f>+Q33*E29</f>
        <v/>
      </c>
      <c r="T33" s="5" t="n"/>
      <c r="U33" s="5" t="n"/>
      <c r="W33" s="5" t="n"/>
      <c r="X33" s="28" t="n"/>
      <c r="Y33" s="36" t="n"/>
      <c r="Z33" s="40" t="n"/>
      <c r="AA33" s="290" t="n"/>
      <c r="AB33" s="290" t="n"/>
    </row>
    <row r="34" ht="15.25" customHeight="1" s="367">
      <c r="A34" s="1" t="n"/>
      <c r="B34" s="421" t="n"/>
      <c r="C34" s="421" t="n"/>
      <c r="D34" s="117" t="n"/>
      <c r="E34" s="117" t="n"/>
      <c r="F34" s="117" t="n"/>
      <c r="G34" s="377" t="n"/>
      <c r="H34" s="293" t="n"/>
      <c r="I34" s="294" t="n"/>
      <c r="J34" s="144" t="n"/>
      <c r="K34" s="294" t="n"/>
      <c r="L34" s="1" t="n"/>
      <c r="N34" s="32" t="n"/>
      <c r="P34" t="inlineStr">
        <is>
          <t>Nb de mardis</t>
        </is>
      </c>
      <c r="Q34">
        <f>COUNTIF($Q$26:$Q$32,"3")</f>
        <v/>
      </c>
      <c r="R34">
        <f>+Q34*E30</f>
        <v/>
      </c>
      <c r="T34" s="5" t="n"/>
      <c r="U34" s="5" t="n"/>
      <c r="W34" s="5" t="n"/>
      <c r="X34" s="28" t="n"/>
      <c r="Y34" s="36" t="n"/>
      <c r="Z34" s="40" t="n"/>
      <c r="AA34" s="290" t="n"/>
      <c r="AB34" s="290" t="n"/>
    </row>
    <row r="35" ht="15.25" customHeight="1" s="367">
      <c r="A35" s="1" t="n"/>
      <c r="B35" s="421" t="n"/>
      <c r="C35" s="421" t="n"/>
      <c r="D35" s="377" t="inlineStr">
        <is>
          <t>Horaire hebdo. habituel de travail</t>
        </is>
      </c>
      <c r="E35" s="428">
        <f>SUM(E29:E33)</f>
        <v/>
      </c>
      <c r="F35" s="117" t="n"/>
      <c r="G35" s="117" t="n"/>
      <c r="H35" s="145" t="inlineStr">
        <is>
          <t>TOTAL</t>
        </is>
      </c>
      <c r="I35" s="299">
        <f>SUM(I29:I33)</f>
        <v/>
      </c>
      <c r="J35" s="131" t="n"/>
      <c r="K35" s="131" t="n"/>
      <c r="L35" s="1" t="n"/>
      <c r="P35" t="inlineStr">
        <is>
          <t>Nb de mercredis</t>
        </is>
      </c>
      <c r="Q35">
        <f>COUNTIF($Q$26:$Q$32,"4")</f>
        <v/>
      </c>
      <c r="R35">
        <f>+Q35*E31</f>
        <v/>
      </c>
      <c r="T35" s="5" t="n"/>
      <c r="U35" s="5" t="n"/>
      <c r="W35" s="5" t="n"/>
      <c r="X35" s="28" t="n"/>
      <c r="Y35" s="36" t="n"/>
      <c r="Z35" s="40" t="n"/>
      <c r="AA35" s="290" t="n"/>
      <c r="AB35" s="290" t="n"/>
    </row>
    <row r="36" ht="15.25" customHeight="1" s="367">
      <c r="A36" s="1" t="n"/>
      <c r="B36" s="421" t="n"/>
      <c r="C36" s="421" t="n"/>
      <c r="D36" s="377" t="n"/>
      <c r="E36" s="428" t="n"/>
      <c r="F36" s="117" t="n"/>
      <c r="G36" s="117" t="n"/>
      <c r="H36" s="145" t="n"/>
      <c r="I36" s="300" t="n"/>
      <c r="J36" s="131" t="n"/>
      <c r="K36" s="131" t="n"/>
      <c r="L36" s="1" t="n"/>
      <c r="P36" t="inlineStr">
        <is>
          <t>Nb de jeudis</t>
        </is>
      </c>
      <c r="Q36">
        <f>COUNTIF($Q$26:$Q$32,"5")</f>
        <v/>
      </c>
      <c r="R36">
        <f>+Q36*E32</f>
        <v/>
      </c>
      <c r="T36" s="5" t="n"/>
      <c r="W36" s="5" t="n"/>
      <c r="X36" s="28" t="n"/>
      <c r="Y36" s="36" t="n"/>
      <c r="Z36" s="40" t="n"/>
      <c r="AA36" s="290" t="n"/>
      <c r="AB36" s="290" t="n"/>
    </row>
    <row r="37" ht="15.25" customHeight="1" s="367">
      <c r="A37" s="1" t="n"/>
      <c r="B37" s="421" t="n"/>
      <c r="C37" s="409" t="inlineStr">
        <is>
          <t>Nombre d'heures travaillées (3)</t>
        </is>
      </c>
      <c r="H37" s="125" t="n"/>
      <c r="I37" s="301">
        <f>+I35</f>
        <v/>
      </c>
      <c r="J37" s="378" t="inlineStr">
        <is>
          <t>A</t>
        </is>
      </c>
      <c r="K37" s="421" t="n"/>
      <c r="L37" s="1" t="n"/>
      <c r="N37" s="376" t="inlineStr">
        <is>
          <t>(3) A modifier si besoin (par exemple en divisant la sommes des salaires versés depuis la date anniversaire du contrat -hors majoration des heures au-delà de 45h, par le salaire horaire)</t>
        </is>
      </c>
      <c r="P37" t="inlineStr">
        <is>
          <t>Nb de vendredis</t>
        </is>
      </c>
      <c r="Q37">
        <f>COUNTIF($Q$26:$Q$32,"6")</f>
        <v/>
      </c>
      <c r="R37">
        <f>+Q37*E33</f>
        <v/>
      </c>
      <c r="T37" s="5" t="n"/>
      <c r="W37" s="5" t="n"/>
      <c r="X37" s="28" t="n"/>
      <c r="Y37" s="36" t="n"/>
      <c r="Z37" s="40" t="n"/>
      <c r="AA37" s="290" t="n"/>
      <c r="AB37" s="290" t="n"/>
    </row>
    <row r="38" ht="15.25" customHeight="1" s="367">
      <c r="A38" s="1" t="n"/>
      <c r="B38" s="421" t="n"/>
      <c r="C38" s="409" t="inlineStr">
        <is>
          <t>Nombre d'heures rémunérées (3)</t>
        </is>
      </c>
      <c r="H38" s="125" t="n"/>
      <c r="I38" s="302">
        <f>ROUND(P42,1)</f>
        <v/>
      </c>
      <c r="J38" s="378" t="inlineStr">
        <is>
          <t>B</t>
        </is>
      </c>
      <c r="K38" s="421" t="n"/>
      <c r="L38" s="1" t="n"/>
      <c r="P38" t="inlineStr">
        <is>
          <t>Nb de samedis</t>
        </is>
      </c>
      <c r="Q38">
        <f>COUNTIF($Q$26:$Q$32,"7")</f>
        <v/>
      </c>
      <c r="R38">
        <f>+Q38*E34</f>
        <v/>
      </c>
      <c r="T38" s="5" t="n"/>
      <c r="W38" s="5" t="n"/>
      <c r="X38" s="28" t="n"/>
      <c r="Y38" s="36" t="n"/>
      <c r="Z38" s="40" t="n"/>
      <c r="AA38" s="290" t="n"/>
      <c r="AB38" s="290" t="n"/>
    </row>
    <row r="39" ht="15.25" customHeight="1" s="367">
      <c r="A39" s="1" t="n"/>
      <c r="B39" s="421" t="n"/>
      <c r="C39" s="409" t="inlineStr">
        <is>
          <t>Différentiel entre heures travaillées et heures rémunérées (4)</t>
        </is>
      </c>
      <c r="H39" s="127" t="n"/>
      <c r="I39" s="303">
        <f>MAX(0,ROUND(I37-I38,1))</f>
        <v/>
      </c>
      <c r="J39" s="378" t="inlineStr">
        <is>
          <t>C = A-B</t>
        </is>
      </c>
      <c r="K39" s="421" t="n"/>
      <c r="L39" s="1" t="n"/>
      <c r="N39" s="376" t="inlineStr">
        <is>
          <t>(4) Si vous utilisez la fiche de paie Zen avec mon Assmat reportez directement ici le solde indiqué dans l'onglet Compteur d'heures</t>
        </is>
      </c>
      <c r="T39" s="5" t="n"/>
      <c r="U39" s="5" t="n"/>
      <c r="W39" s="5" t="n"/>
      <c r="X39" s="28" t="n"/>
      <c r="Y39" s="36" t="n"/>
      <c r="Z39" s="40" t="n"/>
      <c r="AA39" s="290" t="n"/>
      <c r="AB39" s="290" t="n"/>
    </row>
    <row r="40" ht="15.25" customHeight="1" s="367">
      <c r="A40" s="1" t="n"/>
      <c r="B40" s="421" t="n"/>
      <c r="C40" s="409" t="n"/>
      <c r="D40" s="409" t="n"/>
      <c r="E40" s="409" t="n"/>
      <c r="F40" s="409" t="n"/>
      <c r="G40" s="409" t="n"/>
      <c r="H40" s="127" t="n"/>
      <c r="I40" s="125" t="n"/>
      <c r="J40" s="378" t="n"/>
      <c r="K40" s="421" t="n"/>
      <c r="L40" s="1" t="n"/>
      <c r="T40" s="5" t="n"/>
      <c r="U40" s="5" t="n"/>
      <c r="W40" s="5" t="n"/>
      <c r="X40" s="28" t="n"/>
      <c r="Y40" s="36" t="n"/>
      <c r="Z40" s="40" t="n"/>
      <c r="AA40" s="290" t="n"/>
      <c r="AB40" s="290" t="n"/>
    </row>
    <row r="41" ht="15.25" customHeight="1" s="367">
      <c r="A41" s="1" t="n"/>
      <c r="B41" s="421" t="n"/>
      <c r="C41" s="409" t="inlineStr">
        <is>
          <t>Total des régularisations calculées les années précédentes (en heures)</t>
        </is>
      </c>
      <c r="H41" s="127" t="n"/>
      <c r="I41" s="304" t="n"/>
      <c r="J41" s="378" t="inlineStr">
        <is>
          <t>D</t>
        </is>
      </c>
      <c r="K41" s="421" t="n"/>
      <c r="L41" s="1" t="n"/>
      <c r="N41" s="32" t="n"/>
      <c r="P41" s="146" t="inlineStr">
        <is>
          <t>Nombre d'heures rémunérées</t>
        </is>
      </c>
      <c r="T41" s="5" t="n"/>
      <c r="U41" s="5" t="n"/>
      <c r="W41" s="5" t="n"/>
      <c r="X41" s="28" t="n"/>
      <c r="Y41" s="36" t="n"/>
      <c r="Z41" s="40" t="n"/>
      <c r="AA41" s="290" t="n"/>
      <c r="AB41" s="290" t="n"/>
    </row>
    <row r="42" ht="15.25" customHeight="1" s="367">
      <c r="A42" s="1" t="n"/>
      <c r="B42" s="421" t="n"/>
      <c r="C42" s="409" t="inlineStr">
        <is>
          <t>Régularisations des années précédentes déjà payées (en heures)</t>
        </is>
      </c>
      <c r="H42" s="127" t="n"/>
      <c r="I42" s="305" t="n"/>
      <c r="J42" s="378" t="inlineStr">
        <is>
          <t>E</t>
        </is>
      </c>
      <c r="K42" s="421" t="n"/>
      <c r="L42" s="1" t="n"/>
      <c r="N42" s="32" t="n"/>
      <c r="P42">
        <f>P22*SUM(E29:E33)*G19/52+SUM(R33:R38)*G19/52</f>
        <v/>
      </c>
      <c r="T42" s="5" t="n"/>
      <c r="U42" s="5" t="n"/>
      <c r="W42" s="5" t="n"/>
      <c r="X42" s="28" t="n"/>
      <c r="Y42" s="36" t="n"/>
      <c r="Z42" s="40" t="n"/>
      <c r="AA42" s="290" t="n"/>
      <c r="AB42" s="290" t="n"/>
    </row>
    <row r="43" ht="15.25" customHeight="1" s="367">
      <c r="A43" s="1" t="n"/>
      <c r="B43" s="421" t="n"/>
      <c r="C43" s="125" t="n"/>
      <c r="D43" s="125" t="n"/>
      <c r="E43" s="125" t="n"/>
      <c r="F43" s="125" t="n"/>
      <c r="G43" s="125" t="n"/>
      <c r="H43" s="125" t="n"/>
      <c r="I43" s="125" t="n"/>
      <c r="J43" s="125" t="n"/>
      <c r="K43" s="421" t="n"/>
      <c r="L43" s="1" t="n"/>
      <c r="N43" s="32" t="n"/>
      <c r="T43" s="5" t="n"/>
      <c r="U43" s="5" t="n"/>
      <c r="W43" s="5" t="n"/>
      <c r="X43" s="28" t="n"/>
      <c r="Y43" s="36" t="n"/>
      <c r="Z43" s="40" t="n"/>
      <c r="AA43" s="290" t="n"/>
      <c r="AB43" s="290" t="n"/>
    </row>
    <row r="44" ht="15.25" customHeight="1" s="367">
      <c r="A44" s="1" t="n"/>
      <c r="B44" s="60" t="n"/>
      <c r="C44" s="408" t="inlineStr">
        <is>
          <t>Calcul de la régularisation due</t>
        </is>
      </c>
      <c r="G44" s="60" t="n"/>
      <c r="H44" s="60" t="n"/>
      <c r="I44" s="306" t="inlineStr">
        <is>
          <t>BRUT</t>
        </is>
      </c>
      <c r="J44" s="306" t="inlineStr">
        <is>
          <t>NET</t>
        </is>
      </c>
      <c r="K44" s="7" t="n"/>
      <c r="L44" s="1" t="n"/>
      <c r="T44" s="5" t="n"/>
      <c r="U44" s="5" t="n"/>
      <c r="Y44" s="40" t="n"/>
      <c r="Z44" s="40" t="n"/>
    </row>
    <row r="45" ht="15.25" customHeight="1" s="367">
      <c r="A45" s="1" t="n"/>
      <c r="B45" s="408" t="n"/>
      <c r="C45" s="392" t="inlineStr">
        <is>
          <t>Salaire horaire (1)</t>
        </is>
      </c>
      <c r="H45" s="368" t="n"/>
      <c r="I45" s="241">
        <f>'Données du contrat'!F26</f>
        <v/>
      </c>
      <c r="J45" s="241">
        <f>'Données du contrat'!G26</f>
        <v/>
      </c>
      <c r="K45" s="54" t="inlineStr">
        <is>
          <t>F</t>
        </is>
      </c>
      <c r="L45" s="1" t="n"/>
      <c r="T45" s="5" t="n"/>
      <c r="Z45" s="283" t="n"/>
    </row>
    <row r="46" ht="15.25" customHeight="1" s="367">
      <c r="A46" s="1" t="n"/>
      <c r="B46" s="368" t="n"/>
      <c r="C46" s="406">
        <f>IF(J46=0,"Régularisation à verser dans le solde de tout compte : (C + D - E ) x F (6)","Régularisation à verser dans le solde de tout compte : (C + D - E) x F ")</f>
        <v/>
      </c>
      <c r="H46" s="368" t="n"/>
      <c r="I46" s="242">
        <f>IF(I39&gt;0,(I39+I41-I42)*I45,0)</f>
        <v/>
      </c>
      <c r="J46" s="243">
        <f>IF(I39&gt;0,(I39+I41-I42)*J45,0)</f>
        <v/>
      </c>
      <c r="K46" s="69" t="n"/>
      <c r="L46" s="1" t="n"/>
      <c r="P46">
        <f>3*43/12*40</f>
        <v/>
      </c>
      <c r="T46" s="5" t="n"/>
      <c r="Z46" s="283" t="n"/>
    </row>
    <row r="47" ht="15.25" customHeight="1" s="367">
      <c r="A47" s="1" t="n"/>
      <c r="B47" s="368" t="n"/>
      <c r="C47" s="399" t="n"/>
      <c r="D47" s="399" t="n"/>
      <c r="E47" s="399" t="n"/>
      <c r="F47" s="399" t="n"/>
      <c r="G47" s="399" t="n"/>
      <c r="H47" s="399" t="n"/>
      <c r="I47" s="307" t="n"/>
      <c r="J47" s="307" t="n"/>
      <c r="K47" s="69" t="n"/>
      <c r="L47" s="1" t="n"/>
      <c r="N47" s="32" t="n"/>
      <c r="T47" s="5" t="n"/>
    </row>
    <row r="48" ht="15.25" customHeight="1" s="367">
      <c r="A48" s="1" t="n"/>
      <c r="B48" s="368" t="n"/>
      <c r="C48" s="407" t="inlineStr">
        <is>
          <t>Ces résultats sont reportés automatiquement sur l'onglet Solde de tout compte</t>
        </is>
      </c>
      <c r="J48" s="407" t="n"/>
      <c r="K48" s="69" t="n"/>
      <c r="L48" s="1" t="n"/>
      <c r="N48" s="376">
        <f>IF(J46=0,"(6) La régularisation ne peut pas être en faveur des parents. Si elle l'est, on indique alors zéro.","")</f>
        <v/>
      </c>
      <c r="T48" s="5" t="n"/>
    </row>
    <row r="49" ht="15.25" customHeight="1" s="367">
      <c r="A49" s="1" t="n"/>
      <c r="B49" s="369">
        <f>CONCATENATE("Copyright @ zen-avec-mon-assmat.com                                   Conforme à la législation en vigueur au ",date_maj)</f>
        <v/>
      </c>
      <c r="L49" s="1" t="n"/>
      <c r="T49" s="5" t="n"/>
    </row>
    <row r="50" ht="15.25" customHeight="1" s="367">
      <c r="A50" s="1" t="n"/>
      <c r="B50" s="1" t="n"/>
      <c r="C50" s="1" t="n"/>
      <c r="D50" s="1" t="n"/>
      <c r="E50" s="1" t="n"/>
      <c r="F50" s="1" t="n"/>
      <c r="G50" s="1" t="n"/>
      <c r="H50" s="1" t="n"/>
      <c r="I50" s="1" t="n"/>
      <c r="J50" s="1" t="n"/>
      <c r="K50" s="1" t="n"/>
      <c r="L50" s="1" t="n"/>
      <c r="T50" s="5" t="n"/>
    </row>
  </sheetData>
  <sheetProtection selectLockedCells="1" selectUnlockedCells="0" algorithmName="SHA-512" sheet="1" objects="1" insertRows="1" insertHyperlinks="1" autoFilter="1" scenarios="1" formatColumns="1" deleteColumns="1" insertColumns="1" pivotTables="1" deleteRows="1" formatCells="1" saltValue="UGO1RZyGED1/3M77ZnaMgg==" formatRows="1" sort="1" spinCount="100000" hashValue="mhdF6WSE+zIrvtrs3UdK+DULIbyMK2I4Q9/Z/meyjKZqLVCA3ekJhf2oTxCFlqElJRrZhjvlH8iS3FZS9/j8Eg=="/>
  <mergeCells count="37">
    <mergeCell ref="C12:J13"/>
    <mergeCell ref="B49:K49"/>
    <mergeCell ref="F29:G29"/>
    <mergeCell ref="C48:I48"/>
    <mergeCell ref="C42:G42"/>
    <mergeCell ref="C45:G45"/>
    <mergeCell ref="N2:N3"/>
    <mergeCell ref="G5:K6"/>
    <mergeCell ref="C23:G24"/>
    <mergeCell ref="N37:N38"/>
    <mergeCell ref="G17:H17"/>
    <mergeCell ref="F27:G28"/>
    <mergeCell ref="H21:I21"/>
    <mergeCell ref="F30:G30"/>
    <mergeCell ref="G2:K4"/>
    <mergeCell ref="N9:N17"/>
    <mergeCell ref="F33:G33"/>
    <mergeCell ref="C41:G41"/>
    <mergeCell ref="F32:G32"/>
    <mergeCell ref="N39:N40"/>
    <mergeCell ref="E27:E28"/>
    <mergeCell ref="N48:N49"/>
    <mergeCell ref="H27:H28"/>
    <mergeCell ref="C46:G46"/>
    <mergeCell ref="F31:G31"/>
    <mergeCell ref="C8:J10"/>
    <mergeCell ref="N24:N25"/>
    <mergeCell ref="C39:G39"/>
    <mergeCell ref="B25:G25"/>
    <mergeCell ref="C44:F44"/>
    <mergeCell ref="G16:H16"/>
    <mergeCell ref="C38:G38"/>
    <mergeCell ref="N4:N5"/>
    <mergeCell ref="C37:G37"/>
    <mergeCell ref="B21:G21"/>
    <mergeCell ref="I27:I28"/>
    <mergeCell ref="G14:J14"/>
  </mergeCells>
  <hyperlinks>
    <hyperlink ref="G14" location="'Congés payés'!A1" display="- aller calculer les congés payés dus"/>
  </hyperlinks>
  <pageMargins left="0.7" right="0.7" top="0.75" bottom="0.75" header="0.511805555555555" footer="0.511805555555555"/>
  <pageSetup orientation="portrait" paperSize="9" firstPageNumber="0" horizontalDpi="4294967293" verticalDpi="4294967293"/>
  <drawing xmlns:r="http://schemas.openxmlformats.org/officeDocument/2006/relationships" r:id="rId1"/>
</worksheet>
</file>

<file path=xl/worksheets/sheet5.xml><?xml version="1.0" encoding="utf-8"?>
<worksheet xmlns="http://schemas.openxmlformats.org/spreadsheetml/2006/main">
  <sheetPr>
    <outlinePr summaryBelow="1" summaryRight="1"/>
    <pageSetUpPr/>
  </sheetPr>
  <dimension ref="A1:P53"/>
  <sheetViews>
    <sheetView showGridLines="0" showRowColHeaders="0" zoomScaleNormal="100" workbookViewId="0">
      <selection activeCell="L8" sqref="L8:L10"/>
    </sheetView>
  </sheetViews>
  <sheetFormatPr baseColWidth="10" defaultColWidth="9.1640625" defaultRowHeight="15"/>
  <cols>
    <col width="2.5" customWidth="1" style="367" min="1" max="1"/>
    <col width="4.6640625" customWidth="1" style="367" min="2" max="2"/>
    <col width="29.33203125" customWidth="1" style="367" min="3" max="3"/>
    <col width="18.5" customWidth="1" style="367" min="4" max="4"/>
    <col width="31.5" customWidth="1" style="367" min="5" max="5"/>
    <col width="2.33203125" customWidth="1" style="367" min="6" max="6"/>
    <col width="11" customWidth="1" style="367" min="7" max="8"/>
    <col width="6.83203125" customWidth="1" style="367" min="9" max="9"/>
    <col width="2.5" customWidth="1" style="367" min="10" max="10"/>
    <col width="3.1640625" customWidth="1" style="367" min="11" max="11"/>
    <col width="76.83203125" customWidth="1" style="367" min="12" max="12"/>
    <col hidden="1" width="9.1640625" customWidth="1" style="367" min="13" max="13"/>
    <col hidden="1" width="71" customWidth="1" style="367" min="14" max="14"/>
    <col hidden="1" width="19.5" customWidth="1" style="367" min="15" max="15"/>
    <col hidden="1" width="10.6640625" customWidth="1" style="367" min="16" max="16"/>
    <col hidden="1" width="20.5" customWidth="1" style="367" min="17" max="17"/>
    <col width="20.5" customWidth="1" style="367" min="18" max="21"/>
    <col width="10.5" customWidth="1" style="367" min="22" max="1025"/>
  </cols>
  <sheetData>
    <row r="1" ht="15.25" customHeight="1" s="367">
      <c r="A1" s="1" t="n"/>
      <c r="B1" s="1" t="n"/>
      <c r="C1" s="1" t="n"/>
      <c r="D1" s="1" t="n"/>
      <c r="E1" s="1" t="n"/>
      <c r="F1" s="1" t="n"/>
      <c r="G1" s="1" t="n"/>
      <c r="H1" s="1" t="n"/>
      <c r="I1" s="1" t="n"/>
      <c r="J1" s="1" t="n"/>
      <c r="N1" s="37" t="inlineStr">
        <is>
          <t>Mode de paiement des CP</t>
        </is>
      </c>
      <c r="O1" s="14" t="n"/>
      <c r="P1" s="15" t="n"/>
    </row>
    <row r="2" ht="15.25" customHeight="1" s="367">
      <c r="A2" s="1" t="n"/>
      <c r="E2" s="390" t="inlineStr">
        <is>
          <t>contrat &lt;= 46 semaines (année incomplète)</t>
        </is>
      </c>
      <c r="J2" s="1" t="n"/>
      <c r="L2" s="383" t="inlineStr">
        <is>
          <t>Mode d'emploi</t>
        </is>
      </c>
      <c r="M2" s="70" t="n"/>
      <c r="N2" s="17" t="n"/>
      <c r="P2" s="71">
        <f>IF(E14=N3,1,IF(E14=N4,2,IF(E14=N5,3,IF(E14=N6,4,5))))</f>
        <v/>
      </c>
    </row>
    <row r="3" ht="15.25" customHeight="1" s="367">
      <c r="A3" s="1" t="n"/>
      <c r="D3" s="16" t="inlineStr">
        <is>
          <t>1 action</t>
        </is>
      </c>
      <c r="J3" s="1" t="n"/>
      <c r="L3" s="384" t="n"/>
      <c r="M3" s="70" t="n"/>
      <c r="N3" s="17" t="inlineStr">
        <is>
          <t>En une fois avec le salaire de Juin</t>
        </is>
      </c>
      <c r="P3" s="18" t="n"/>
    </row>
    <row r="4" ht="15.25" customHeight="1" s="367">
      <c r="A4" s="1" t="n"/>
      <c r="D4" s="16" t="inlineStr">
        <is>
          <t>5 mn de préparation</t>
        </is>
      </c>
      <c r="J4" s="1" t="n"/>
      <c r="L4" s="385" t="inlineStr">
        <is>
          <t>Pour remplir cet onglet, avec les informations nécessaires au calcul des indemnités de congés, munissez-vous  :</t>
        </is>
      </c>
      <c r="M4" s="70" t="n"/>
      <c r="N4" s="17" t="inlineStr">
        <is>
          <t>En une fois au moment de la prise des congés payés principaux</t>
        </is>
      </c>
      <c r="P4" s="18" t="n"/>
    </row>
    <row r="5" ht="15.25" customHeight="1" s="367">
      <c r="A5" s="1" t="n"/>
      <c r="D5" s="16" t="inlineStr">
        <is>
          <t>5 mn de remplissage</t>
        </is>
      </c>
      <c r="E5" s="374" t="inlineStr">
        <is>
          <t>Indemnités de congés payés</t>
        </is>
      </c>
      <c r="J5" s="1" t="n"/>
      <c r="L5" s="384" t="n"/>
      <c r="N5" s="17" t="inlineStr">
        <is>
          <t>A chaque prise de congés</t>
        </is>
      </c>
      <c r="P5" s="18" t="n"/>
    </row>
    <row r="6" ht="15.25" customHeight="1" s="367">
      <c r="A6" s="1" t="n"/>
      <c r="J6" s="1" t="n"/>
      <c r="L6" s="384" t="inlineStr">
        <is>
          <t>- du contrat de l'assistante maternelle</t>
        </is>
      </c>
      <c r="N6" s="17" t="inlineStr">
        <is>
          <t>Par douzième (interdit depuis 2022)</t>
        </is>
      </c>
      <c r="P6" s="18" t="n"/>
    </row>
    <row r="7" ht="15.25" customHeight="1" s="367">
      <c r="A7" s="1" t="n"/>
      <c r="B7" s="1" t="n"/>
      <c r="C7" s="1" t="n"/>
      <c r="D7" s="1" t="n"/>
      <c r="E7" s="1" t="n"/>
      <c r="F7" s="1" t="n"/>
      <c r="G7" s="1" t="n"/>
      <c r="H7" s="1" t="n"/>
      <c r="I7" s="1" t="n"/>
      <c r="J7" s="1" t="n"/>
      <c r="L7" s="72" t="inlineStr">
        <is>
          <t>- des fiches de paie des 12 derniers mois (solde des compteurs congés)</t>
        </is>
      </c>
      <c r="N7" s="23" t="inlineStr">
        <is>
          <t>Par 10 % dès le début du contrat (interdit depuis 2022)</t>
        </is>
      </c>
      <c r="O7" s="73" t="n"/>
      <c r="P7" s="30" t="n"/>
    </row>
    <row r="8" ht="15.25" customHeight="1" s="367">
      <c r="A8" s="1" t="n"/>
      <c r="C8" s="441" t="inlineStr">
        <is>
          <t>Cet onglet vous permet de calculer les indemnités de congés payés restant dues en fin de contrat (congés acquis non pris ou en cours d'acquisition). Ce montant est ensuite reporté automatiquement dans le Solde de tout compte.</t>
        </is>
      </c>
      <c r="J8" s="1" t="n"/>
      <c r="L8" s="442" t="inlineStr">
        <is>
          <t>- du montant de l'indemnité de congés payés calculée au 1er Juin dernier (vous pouvez le calculer dans le calculateur Congés de l'espace privé Zen avec mon Assmat)</t>
        </is>
      </c>
      <c r="M8" s="376" t="n"/>
    </row>
    <row r="9" ht="15.25" customHeight="1" s="367">
      <c r="A9" s="1" t="n"/>
      <c r="J9" s="1" t="n"/>
      <c r="L9" s="443" t="n"/>
      <c r="M9" s="376" t="n"/>
      <c r="N9" s="37" t="inlineStr">
        <is>
          <t>Congés principaux pris</t>
        </is>
      </c>
      <c r="O9" s="15" t="n"/>
    </row>
    <row r="10" ht="15.25" customHeight="1" s="367">
      <c r="A10" s="1" t="n"/>
      <c r="C10" s="400" t="inlineStr">
        <is>
          <t>Une fois cet onglet rempli, vous pouvez ensuite :</t>
        </is>
      </c>
      <c r="D10" s="400" t="n"/>
      <c r="E10" s="74" t="n"/>
      <c r="F10" s="74" t="n"/>
      <c r="G10" s="74" t="n"/>
      <c r="H10" s="74" t="n"/>
      <c r="I10" s="74" t="n"/>
      <c r="J10" s="1" t="n"/>
      <c r="L10" s="443" t="n"/>
      <c r="M10" s="70" t="n"/>
      <c r="N10" s="17" t="inlineStr">
        <is>
          <t>Oui</t>
        </is>
      </c>
      <c r="O10" s="71">
        <f>IF(G16=N10,1,2)</f>
        <v/>
      </c>
    </row>
    <row r="11" ht="15.25" customHeight="1" s="367">
      <c r="A11" s="1" t="n"/>
      <c r="C11" s="435" t="inlineStr">
        <is>
          <t>- aller directement calculer le solde de tout compte</t>
        </is>
      </c>
      <c r="D11" s="388" t="n"/>
      <c r="E11" s="388" t="n"/>
      <c r="F11" s="388" t="n"/>
      <c r="G11" s="388" t="n"/>
      <c r="H11" s="75" t="n"/>
      <c r="I11" s="76" t="n"/>
      <c r="J11" s="1" t="n"/>
      <c r="L11" s="436" t="n"/>
      <c r="M11" s="70" t="n"/>
      <c r="N11" s="23" t="inlineStr">
        <is>
          <t>Non</t>
        </is>
      </c>
      <c r="O11" s="30" t="n"/>
    </row>
    <row r="12" ht="15.25" customHeight="1" s="367">
      <c r="A12" s="1" t="n"/>
      <c r="B12" s="117" t="n"/>
      <c r="C12" s="117" t="n"/>
      <c r="D12" s="117" t="n"/>
      <c r="E12" s="117" t="n"/>
      <c r="F12" s="117" t="n"/>
      <c r="G12" s="117" t="n"/>
      <c r="H12" s="117" t="n"/>
      <c r="I12" s="117" t="n"/>
      <c r="J12" s="1" t="n"/>
      <c r="L12" s="405" t="n"/>
      <c r="M12" s="70" t="n"/>
    </row>
    <row r="13" ht="15.25" customHeight="1" s="367">
      <c r="A13" s="1" t="n"/>
      <c r="B13" s="117" t="n"/>
      <c r="C13" s="117" t="n"/>
      <c r="D13" s="377" t="inlineStr">
        <is>
          <t>Date de fin de contrat (1)</t>
        </is>
      </c>
      <c r="E13" s="437">
        <f>'Données du contrat'!F16</f>
        <v/>
      </c>
      <c r="H13" s="308" t="n"/>
      <c r="I13" s="402" t="n"/>
      <c r="J13" s="1" t="n"/>
      <c r="M13" s="70" t="n"/>
      <c r="N13" s="59" t="inlineStr">
        <is>
          <t>Salaire NET du au titre des CP</t>
        </is>
      </c>
    </row>
    <row r="14" ht="15.25" customHeight="1" s="367">
      <c r="A14" s="1" t="n"/>
      <c r="B14" s="117" t="n"/>
      <c r="C14" s="117" t="n"/>
      <c r="D14" s="377" t="inlineStr">
        <is>
          <t>Mode de paiement des congés payés</t>
        </is>
      </c>
      <c r="E14" s="438" t="inlineStr">
        <is>
          <t>En une fois au moment de la prise des congés payés principaux</t>
        </is>
      </c>
      <c r="F14" s="439" t="n"/>
      <c r="G14" s="439" t="n"/>
      <c r="H14" s="427" t="n"/>
      <c r="I14" s="212">
        <f>IF(OR(P2=4,P2=5),"*","")</f>
        <v/>
      </c>
      <c r="J14" s="1" t="n"/>
      <c r="L14" t="inlineStr">
        <is>
          <t>(1) Date reprise de l'onglet 'données du contrat'</t>
        </is>
      </c>
      <c r="M14" s="70" t="n"/>
      <c r="N14" s="309">
        <f>IF(P2=1,IF(MONTH(E13)=6,H20,0),IF(P2=2,IF(O10=1,0,H20),IF(P2=3,N17,IF(P2=4,O20,H20-H21))))</f>
        <v/>
      </c>
    </row>
    <row r="15" ht="15.25" customHeight="1" s="367">
      <c r="A15" s="1" t="n"/>
      <c r="B15" s="117" t="n"/>
      <c r="C15" s="117" t="n"/>
      <c r="D15" s="117" t="n"/>
      <c r="E15" s="117" t="n"/>
      <c r="F15" s="117" t="n"/>
      <c r="G15" s="117" t="n"/>
      <c r="H15" s="308" t="n"/>
      <c r="I15" s="402" t="n"/>
      <c r="J15" s="1" t="n"/>
      <c r="L15" s="440">
        <f>IF(OR(P2=4,P2=5)," * Ce mode de paiement des congés payés est interdit en 2022 même s'il est usuel pour de nombreuses assistantes maternelles.","")</f>
        <v/>
      </c>
      <c r="M15" s="70" t="n"/>
    </row>
    <row r="16" ht="15.25" customHeight="1" s="367">
      <c r="A16" s="1" t="n"/>
      <c r="B16" s="117" t="n"/>
      <c r="C16" s="117" t="n"/>
      <c r="D16" s="117" t="n"/>
      <c r="E16" s="377">
        <f>IF(P2=2,"Les congés principaux ont-ils déjà été pris ? (2)","")</f>
        <v/>
      </c>
      <c r="F16" s="117" t="n"/>
      <c r="G16" s="310" t="inlineStr">
        <is>
          <t>Non</t>
        </is>
      </c>
      <c r="H16" s="308" t="n"/>
      <c r="I16" s="117" t="n"/>
      <c r="J16" s="1" t="n"/>
      <c r="M16" s="70" t="n"/>
      <c r="N16" s="59" t="inlineStr">
        <is>
          <t>Valeur NETTE des CP acquis restants dus si paiement à chaque prise de congés</t>
        </is>
      </c>
    </row>
    <row r="17" ht="15.25" customHeight="1" s="367">
      <c r="A17" s="1" t="n"/>
      <c r="B17" s="117" t="n"/>
      <c r="C17" s="117" t="n"/>
      <c r="D17" s="117" t="n"/>
      <c r="E17" s="117" t="n"/>
      <c r="F17" s="117" t="n"/>
      <c r="G17" s="311" t="n"/>
      <c r="H17" s="311" t="n"/>
      <c r="I17" s="117" t="n"/>
      <c r="J17" s="1" t="n"/>
      <c r="L17" s="376">
        <f>IF(P2=2,"(2) Les congés principaux sont la période de congés la plus longue de l'année (généralement les congés d'été)","")</f>
        <v/>
      </c>
      <c r="M17" s="376" t="n"/>
      <c r="N17" s="309">
        <f>IF(G23=0,0,((G23-G24)/G23)*H20)</f>
        <v/>
      </c>
    </row>
    <row r="18" ht="15.25" customHeight="1" s="367">
      <c r="A18" s="1" t="n"/>
      <c r="B18" s="117" t="n"/>
      <c r="C18" s="124" t="inlineStr">
        <is>
          <t>Congés payés acquis au 1er Juin dernier</t>
        </is>
      </c>
      <c r="D18" s="124" t="n"/>
      <c r="E18" s="117" t="n"/>
      <c r="F18" s="117" t="n"/>
      <c r="G18" s="311" t="n"/>
      <c r="H18" s="311" t="n"/>
      <c r="I18" s="117" t="n"/>
      <c r="J18" s="1" t="n"/>
      <c r="M18" s="376" t="n"/>
      <c r="N18" s="37" t="inlineStr">
        <is>
          <t>Par douzième</t>
        </is>
      </c>
      <c r="O18" s="15" t="n"/>
    </row>
    <row r="19" ht="15.25" customHeight="1" s="367">
      <c r="A19" s="1" t="n"/>
      <c r="B19" s="433">
        <f>IF(P30&gt;=O22,"La date d'embauche étant postérieure au 1er Juin dernier, l'assmat ne dispose d'aucun congé acquis","")</f>
        <v/>
      </c>
      <c r="G19" s="311" t="inlineStr">
        <is>
          <t>Brut</t>
        </is>
      </c>
      <c r="H19" s="311" t="inlineStr">
        <is>
          <t>Net</t>
        </is>
      </c>
      <c r="I19" s="117" t="n"/>
      <c r="J19" s="1" t="n"/>
      <c r="N19" s="17" t="inlineStr">
        <is>
          <t>Nombre de douzièmes déjà versés depuis le 1er Juin</t>
        </is>
      </c>
      <c r="O19" s="77">
        <f>IF(MONTH(E13)&lt;6,MONTH(E13)+6,MONTH(E13)-6)</f>
        <v/>
      </c>
    </row>
    <row r="20" ht="15.25" customHeight="1" s="367">
      <c r="A20" s="1" t="n"/>
      <c r="B20" s="409">
        <f>IF(OR(AND(MONTH(E13)&lt;&gt;6,P2=1),AND(P2=2,O10=1)),"",IF(P30&gt;=O22,"",CONCATENATE("Montant TOTAL des indemnités de congés payés ACQUIS dues au 1er juin ",IF($E$13&lt;DATE(YEAR($E$13),6,1),YEAR($E$13)-1,YEAR($E$13)), " (3)")))</f>
        <v/>
      </c>
      <c r="F20" s="125" t="n"/>
      <c r="G20" s="244">
        <f>H20/(1-taux_cotis)</f>
        <v/>
      </c>
      <c r="H20" s="245" t="n"/>
      <c r="I20" s="138" t="n"/>
      <c r="J20" s="1" t="n"/>
      <c r="L20" s="139" t="n"/>
      <c r="M20" s="376" t="n"/>
      <c r="N20" s="23" t="inlineStr">
        <is>
          <t>Reste à payer (par douzième)</t>
        </is>
      </c>
      <c r="O20" s="246">
        <f>H20*(12-O19)/12</f>
        <v/>
      </c>
    </row>
    <row r="21" ht="15.25" customHeight="1" s="367">
      <c r="A21" s="1" t="n"/>
      <c r="B21" s="422">
        <f>IF(P30&gt;=O22,"",IF(P2=5,CONCATENATE("Montant déjà versé au titre des congés du ",TEXT(MAX(O21,P30),"jj mmm aaaa")," au ",TEXT(O22-1,"jj mmm aaaa")),""))</f>
        <v/>
      </c>
      <c r="F21" s="125" t="n"/>
      <c r="G21" s="244">
        <f>IF(H21="","",H21/(1-taux_cotis))</f>
        <v/>
      </c>
      <c r="H21" s="245" t="n"/>
      <c r="I21" s="117" t="n"/>
      <c r="J21" s="1" t="n"/>
      <c r="L21" s="434" t="inlineStr">
        <is>
          <t>(3) Ce montant a dû etre calculé au 1er Juin dernier (vous pouvez le recalculer si besoin à l'aide du calculateur Congés présent dans l'espace privé Zen avec mon Assmat)</t>
        </is>
      </c>
      <c r="M21" s="376" t="n"/>
      <c r="N21" t="inlineStr">
        <is>
          <t>1er juin n-1</t>
        </is>
      </c>
      <c r="O21" s="5">
        <f>DATE(YEAR(O22)-1,6,1)</f>
        <v/>
      </c>
    </row>
    <row r="22" ht="15.25" customHeight="1" s="367">
      <c r="A22" s="1" t="n"/>
      <c r="F22" s="125" t="n"/>
      <c r="G22" s="119" t="n"/>
      <c r="H22" s="119" t="n"/>
      <c r="I22" s="117" t="n"/>
      <c r="J22" s="1" t="n"/>
      <c r="L22" s="388" t="n"/>
      <c r="N22" t="inlineStr">
        <is>
          <t>1er Juin dernier</t>
        </is>
      </c>
      <c r="O22" s="5">
        <f>IF($E$13&lt;DATE(YEAR($E$13),6,1),DATE(YEAR($E$13)-1,6,1),DATE(YEAR($E$13),6,1))</f>
        <v/>
      </c>
    </row>
    <row r="23" ht="15.25" customHeight="1" s="367">
      <c r="A23" s="1" t="n"/>
      <c r="B23" s="117" t="n"/>
      <c r="C23" s="377">
        <f>IF(P30&gt;O22,"",IF(OR(AND(P2=1,MONTH(E13)=6),P2=3,AND(P2=2,O10=2),P2=4),CONCATENATE("Nombre TOTAL de jours OUVRABLES de congés payés acquis au 1er juin ",IF($E$13&lt;DATE(YEAR($E$13),6,1),YEAR($E$13)-1,YEAR($E$13))," (4)"),""))</f>
        <v/>
      </c>
      <c r="F23" s="117" t="n"/>
      <c r="G23" s="426" t="n"/>
      <c r="H23" s="427" t="n"/>
      <c r="I23" s="117" t="n"/>
      <c r="J23" s="1" t="n"/>
      <c r="L23" s="388" t="n"/>
      <c r="M23" s="33" t="n"/>
      <c r="N23" t="inlineStr">
        <is>
          <t>1er Juin précédent ou embauche si plus récente</t>
        </is>
      </c>
      <c r="O23" s="5">
        <f>MAX(O22,'Données du contrat'!F14)</f>
        <v/>
      </c>
    </row>
    <row r="24" ht="15.25" customHeight="1" s="367">
      <c r="A24" s="1" t="n"/>
      <c r="B24" s="117" t="n"/>
      <c r="C24" s="377">
        <f>IF(P30&gt;O22,"",IF(P2=3,"Nb jours OUVRABLES de congés payés ACQUIS déjà pris à la date de fin de contrat (5)",""))</f>
        <v/>
      </c>
      <c r="F24" s="117" t="n"/>
      <c r="G24" s="426" t="n"/>
      <c r="H24" s="427" t="n"/>
      <c r="I24" s="117" t="n"/>
      <c r="J24" s="1" t="n"/>
      <c r="L24" s="376">
        <f>IF(P30&gt;O22,"",IF(OR(AND(P2=1,MONTH(E13=6)),P2=3,AND(P2=2,O10=2),P2=4),"(4) Indiquer ici le nombre de jours de congés payés acquis au 1er Juin dernier, y compris les congés Enfants à charge (vous pouvez le recalculer si besoin à l'aide du calculateur Congés présent dans l'espace privé Zen avec mon Assmat)",""))</f>
        <v/>
      </c>
      <c r="N24" t="inlineStr">
        <is>
          <t>Nombre de semaines depuis le 1er Juin</t>
        </is>
      </c>
      <c r="O24" s="312">
        <f>(E13-O23)/7</f>
        <v/>
      </c>
    </row>
    <row r="25" ht="15.25" customHeight="1" s="367">
      <c r="A25" s="1" t="n"/>
      <c r="B25" s="117" t="n"/>
      <c r="C25" s="117" t="n"/>
      <c r="D25" s="117" t="n"/>
      <c r="E25" s="117" t="n"/>
      <c r="F25" s="117" t="n"/>
      <c r="G25" s="117" t="n"/>
      <c r="H25" s="117" t="n"/>
      <c r="I25" s="117" t="n"/>
      <c r="J25" s="1" t="n"/>
    </row>
    <row r="26" ht="15.25" customHeight="1" s="367">
      <c r="A26" s="1" t="n"/>
      <c r="B26" s="117" t="n"/>
      <c r="C26" s="124" t="inlineStr">
        <is>
          <t>Congés en cours d'acquisition depuis le 1er Juin dernier</t>
        </is>
      </c>
      <c r="D26" s="124" t="n"/>
      <c r="E26" s="117" t="n"/>
      <c r="F26" s="117" t="n"/>
      <c r="G26" s="119" t="n"/>
      <c r="H26" s="119" t="n"/>
      <c r="I26" s="117" t="n"/>
      <c r="J26" s="1" t="n"/>
    </row>
    <row r="27" ht="15.25" customHeight="1" s="367">
      <c r="A27" s="1" t="n"/>
      <c r="B27" s="120" t="n"/>
      <c r="C27" s="117" t="n"/>
      <c r="D27" s="117" t="n"/>
      <c r="E27" s="117" t="n"/>
      <c r="F27" s="117" t="n"/>
      <c r="G27" s="119" t="n"/>
      <c r="H27" s="119" t="n"/>
      <c r="I27" s="117" t="n"/>
      <c r="J27" s="1" t="n"/>
      <c r="L27">
        <f>IF(P30&gt;O22,"",IF(P2=3,"(5) Y compris les congés payés pris pendant le préavis",""))</f>
        <v/>
      </c>
    </row>
    <row r="28" ht="15.25" customHeight="1" s="367">
      <c r="A28" s="1" t="n"/>
      <c r="B28" s="422">
        <f>CONCATENATE("Nombre de semaines depuis le ",TEXT(O23,"jj mmmm aaaa"))</f>
        <v/>
      </c>
      <c r="F28" s="117" t="n"/>
      <c r="G28" s="428">
        <f>O24</f>
        <v/>
      </c>
      <c r="I28" s="117" t="n"/>
      <c r="J28" s="1" t="n"/>
      <c r="L28" s="376" t="inlineStr">
        <is>
          <t>(6) Pour le calculer, prendre en compte : 
- les absence prévues au contrat (dans la mensualisation) de l'enfant, hors congés de l'assmat
- les absences non rémunérées de l'enfant ou de l'assistante maternelle SAUF congé maternité ou arrêt de travail suite à un accident du travail
Le préavis, s'il est non effectué à la demande DES PARENTS, compte comme travaillé, il n'est donc pas compté comme absence</t>
        </is>
      </c>
      <c r="M28" s="33" t="n"/>
    </row>
    <row r="29" ht="15.25" customHeight="1" s="367">
      <c r="A29" s="1" t="n"/>
      <c r="B29" s="422">
        <f>CONCATENATE("Nb de jours (habituellement travaillés) d'absence depuis le ",TEXT(O23,"jj mmmm aaaa")," (6)")</f>
        <v/>
      </c>
      <c r="F29" s="117" t="n"/>
      <c r="G29" s="429" t="n"/>
      <c r="H29" s="427" t="n"/>
      <c r="I29" s="117" t="n"/>
      <c r="J29" s="1" t="n"/>
      <c r="N29" s="59" t="inlineStr">
        <is>
          <t>Données du contrat</t>
        </is>
      </c>
    </row>
    <row r="30" ht="15.25" customHeight="1" s="367">
      <c r="A30" s="1" t="n"/>
      <c r="B30" s="422">
        <f>CONCATENATE("Nb de semaines d'absence depuis le ",TEXT(O23,"jj mmmm aaaa")," (6)")</f>
        <v/>
      </c>
      <c r="F30" s="117" t="n"/>
      <c r="G30" s="430">
        <f>G29/'Données du contrat'!F22</f>
        <v/>
      </c>
      <c r="H30" s="427" t="n"/>
      <c r="I30" s="117" t="n"/>
      <c r="J30" s="1" t="n"/>
      <c r="N30" s="61" t="inlineStr">
        <is>
          <t>Date d'embauche de votre assmat</t>
        </is>
      </c>
      <c r="O30" s="62" t="n"/>
      <c r="P30" s="63">
        <f>'Données du contrat'!$F$14</f>
        <v/>
      </c>
    </row>
    <row r="31" ht="15.25" customHeight="1" s="367">
      <c r="A31" s="1" t="n"/>
      <c r="B31" s="431">
        <f>CONCATENATE("Nb réel de semaines de travail effectif ou ASSIMILE depuis le ",TEXT(O23,"jj mmmm aaaa"))</f>
        <v/>
      </c>
      <c r="F31" s="126" t="n"/>
      <c r="G31" s="428">
        <f>G28-G30</f>
        <v/>
      </c>
      <c r="I31" s="117" t="n"/>
      <c r="J31" s="1" t="n"/>
      <c r="N31" s="61" t="inlineStr">
        <is>
          <t>Dernier jour (travaillé / rémunéré) du contrat de travail (1)</t>
        </is>
      </c>
      <c r="O31" s="61" t="n"/>
      <c r="P31" s="65">
        <f>'Données du contrat'!F16</f>
        <v/>
      </c>
    </row>
    <row r="32" ht="15.25" customHeight="1" s="367">
      <c r="A32" s="1" t="n"/>
      <c r="B32" s="432" t="inlineStr">
        <is>
          <t>Horaire hebdomadaire de travail moyen (7)</t>
        </is>
      </c>
      <c r="F32" s="117" t="n"/>
      <c r="G32" s="430">
        <f>'Données du contrat'!F23*12/'Données du contrat'!F21</f>
        <v/>
      </c>
      <c r="H32" s="427" t="n"/>
      <c r="I32" s="117" t="n"/>
      <c r="J32" s="1" t="n"/>
      <c r="N32" s="78" t="inlineStr">
        <is>
          <t>Salaire horaire NET habituel</t>
        </is>
      </c>
      <c r="O32" s="79" t="n"/>
      <c r="P32" s="247">
        <f>'Données du contrat'!$G$26</f>
        <v/>
      </c>
    </row>
    <row r="33" ht="15.25" customHeight="1" s="367">
      <c r="A33" s="1" t="n"/>
      <c r="B33" s="409" t="n"/>
      <c r="C33" s="409" t="inlineStr">
        <is>
          <t>Nombre de jours ouvrables de congés payés en cours d'acquisition</t>
        </is>
      </c>
      <c r="F33" s="125" t="n"/>
      <c r="G33" s="430">
        <f>MIN(30,ROUNDUP(G31/4*2.5,0))</f>
        <v/>
      </c>
      <c r="H33" s="427" t="n"/>
      <c r="I33" s="117" t="n"/>
      <c r="J33" s="1" t="n"/>
      <c r="N33" s="61" t="inlineStr">
        <is>
          <t>Taux de majoration des heures supplémentaires</t>
        </is>
      </c>
      <c r="O33" s="80" t="n"/>
      <c r="P33" s="31">
        <f>'Données du contrat'!O19</f>
        <v/>
      </c>
    </row>
    <row r="34" ht="15.25" customHeight="1" s="367">
      <c r="A34" s="1" t="n"/>
      <c r="B34" s="117" t="n"/>
      <c r="C34" s="125" t="n"/>
      <c r="D34" s="125" t="n"/>
      <c r="E34" s="125" t="n"/>
      <c r="F34" s="125" t="n"/>
      <c r="G34" s="125" t="n"/>
      <c r="H34" s="428" t="n"/>
      <c r="I34" s="117" t="n"/>
      <c r="J34" s="1" t="n"/>
      <c r="N34" s="13" t="inlineStr">
        <is>
          <t>CP acquis restant en nombre de jours</t>
        </is>
      </c>
      <c r="O34" s="81" t="n"/>
      <c r="P34" s="15" t="n"/>
    </row>
    <row r="35" ht="15.25" customHeight="1" s="367">
      <c r="A35" s="1" t="n"/>
      <c r="B35" s="117" t="n"/>
      <c r="C35" s="125" t="n"/>
      <c r="D35" s="125" t="n"/>
      <c r="E35" s="125" t="n"/>
      <c r="F35" s="125" t="n"/>
      <c r="G35" s="311" t="inlineStr">
        <is>
          <t>Brut</t>
        </is>
      </c>
      <c r="H35" s="311" t="inlineStr">
        <is>
          <t>Net</t>
        </is>
      </c>
      <c r="I35" s="117" t="n"/>
      <c r="J35" s="1" t="n"/>
      <c r="L35" s="376" t="n"/>
      <c r="M35" s="33" t="n"/>
      <c r="N35" s="17">
        <f>ROUND(IF(AND(P2=1,MONTH(E13)=6),G23,IF(AND(P2=2,O10=2),G23,IF(P2=3,G23-G24,IF(P2=4,G23/12*(12-O19),0)))),0)</f>
        <v/>
      </c>
      <c r="P35" s="18" t="n"/>
    </row>
    <row r="36" ht="15.25" customHeight="1" s="367">
      <c r="A36" s="1" t="n"/>
      <c r="B36" s="422">
        <f>IF(P2=5,CONCATENATE("Salaires versés depuis le ",TEXT(O23,"j mmmm aaaa")," hors dernier mois de salaire et indemnité de congés (8)"),CONCATENATE("Salaires versés depuis le ",TEXT(O23,"j mmmm aaaa")," hors dernier mois de salaire (8)"))</f>
        <v/>
      </c>
      <c r="F36" s="125" t="n"/>
      <c r="G36" s="244">
        <f>H36/(1-taux_cotis)</f>
        <v/>
      </c>
      <c r="H36" s="248" t="n"/>
      <c r="I36" s="138" t="n"/>
      <c r="J36" s="1" t="n"/>
      <c r="L36" s="376" t="inlineStr">
        <is>
          <t>(7) indiquez ici l'horaire d'accueil moyen (exemple : (36 semaines de 20 h + 4 semaines de 40 h = 880 h) / 40 semaines = 22 h)</t>
        </is>
      </c>
      <c r="M36" s="33" t="n"/>
      <c r="N36" s="17" t="n"/>
      <c r="O36" s="313" t="n"/>
      <c r="P36" s="21" t="n"/>
    </row>
    <row r="37" ht="15.25" customHeight="1" s="367">
      <c r="A37" s="1" t="n"/>
      <c r="B37" s="422">
        <f>IF(P2=5,CONCATENATE("Indemnité de congé payé versée depuis le ",TEXT(O23,"j mmmm aaaa")," hors dernier mois de salaire"),"")</f>
        <v/>
      </c>
      <c r="F37" s="125" t="n"/>
      <c r="G37" s="244">
        <f>IF(H37="","",H37/(1-taux_cotis))</f>
        <v/>
      </c>
      <c r="H37" s="248" t="n"/>
      <c r="I37" s="138" t="n"/>
      <c r="J37" s="1" t="n"/>
      <c r="N37" s="23" t="n"/>
      <c r="O37" s="24" t="n"/>
      <c r="P37" s="25" t="n"/>
    </row>
    <row r="38" ht="15.25" customHeight="1" s="367">
      <c r="A38" s="1" t="n"/>
      <c r="B38" s="117" t="n"/>
      <c r="C38" s="126" t="n"/>
      <c r="D38" s="126" t="n"/>
      <c r="E38" s="126" t="n"/>
      <c r="F38" s="126" t="n"/>
      <c r="G38" s="117" t="n"/>
      <c r="H38" s="117" t="n"/>
      <c r="I38" s="117" t="n"/>
      <c r="J38" s="1" t="n"/>
      <c r="L38" s="376" t="n"/>
    </row>
    <row r="39" ht="15.25" customHeight="1" s="367">
      <c r="A39" s="1" t="n"/>
      <c r="B39" s="160" t="n"/>
      <c r="C39" s="161" t="n"/>
      <c r="D39" s="161" t="n"/>
      <c r="E39" s="161" t="n"/>
      <c r="F39" s="161" t="n"/>
      <c r="G39" s="160" t="n"/>
      <c r="H39" s="160" t="n"/>
      <c r="I39" s="160" t="n"/>
      <c r="J39" s="1" t="n"/>
      <c r="L39" s="376" t="inlineStr">
        <is>
          <t>(8) Hors prime éventuelle. Sert à calculer l'indemnité de congés payés. Pour convertir éventuellement le brut en net, utilisez l'onglet Brut / net</t>
        </is>
      </c>
      <c r="N39" t="inlineStr">
        <is>
          <t>Date anniversaire du contrat</t>
        </is>
      </c>
      <c r="O39" s="5">
        <f>IF(DATE(YEAR(P31),MONTH(P30),DAY(P30))&lt;P31,DATE(YEAR(P31),MONTH(P30),DAY(P30)),DATE(YEAR(P31)-1,MONTH(P30),DAY(P30)))</f>
        <v/>
      </c>
    </row>
    <row r="40" ht="15.25" customHeight="1" s="367">
      <c r="A40" s="1" t="n"/>
      <c r="B40" s="424" t="inlineStr">
        <is>
          <t xml:space="preserve">   Congés acquis</t>
        </is>
      </c>
      <c r="D40" s="82" t="n"/>
      <c r="E40" s="216" t="n"/>
      <c r="F40" s="216" t="n"/>
      <c r="G40" s="159" t="inlineStr">
        <is>
          <t>Brut</t>
        </is>
      </c>
      <c r="H40" s="159" t="inlineStr">
        <is>
          <t>Net</t>
        </is>
      </c>
      <c r="I40" s="216" t="n"/>
      <c r="J40" s="1" t="n"/>
    </row>
    <row r="41" ht="15.25" customHeight="1" s="367">
      <c r="A41" s="1" t="n"/>
      <c r="B41" s="216" t="n"/>
      <c r="C41" s="83" t="n"/>
      <c r="D41" s="83" t="n"/>
      <c r="E41" s="84">
        <f>IF(P30&gt;O22,"Aucune indemnité à verser au titre des congés payés ACQUIS","Indemnité restant à verser au titre des congés payés ACQUIS")</f>
        <v/>
      </c>
      <c r="F41" s="216" t="n"/>
      <c r="G41" s="249">
        <f>H41/(1-taux_cotis)</f>
        <v/>
      </c>
      <c r="H41" s="249">
        <f>MAX(0,N14)</f>
        <v/>
      </c>
      <c r="I41" s="216" t="n"/>
      <c r="J41" s="1" t="n"/>
      <c r="L41" s="423" t="inlineStr">
        <is>
          <t>Si vous utilisez la fiche de Paie Zen avec mon Assmat, vous trouverez cette information sur l'onglet du dernier mois de salaire, à droite, en face du tableau récapitulatif des salaires versés ("Cumul salaire pour indemnité CP")</t>
        </is>
      </c>
      <c r="N41" s="37" t="inlineStr">
        <is>
          <t>Année du 1er juin</t>
        </is>
      </c>
      <c r="O41" s="14">
        <f>IF(E13&lt;DATE(YEAR(E13),6,1),YEAR(E13)-1,YEAR(E13))</f>
        <v/>
      </c>
      <c r="P41" s="38">
        <f>DATE(O41,6,1)</f>
        <v/>
      </c>
    </row>
    <row r="42" ht="15.25" customHeight="1" s="367">
      <c r="A42" s="1" t="n"/>
      <c r="B42" s="425" t="inlineStr">
        <is>
          <t>Congés en cours d'acquisition</t>
        </is>
      </c>
      <c r="E42" s="216" t="n"/>
      <c r="F42" s="216" t="n"/>
      <c r="G42" s="250" t="n"/>
      <c r="H42" s="251" t="n"/>
      <c r="I42" s="216" t="n"/>
      <c r="J42" s="1" t="n"/>
      <c r="N42" s="17" t="inlineStr">
        <is>
          <t>CP en cours d'acquisition</t>
        </is>
      </c>
      <c r="P42" s="18" t="n"/>
    </row>
    <row r="43" ht="15.25" customHeight="1" s="367">
      <c r="A43" s="1" t="n"/>
      <c r="E43" s="216" t="n"/>
      <c r="F43" s="216" t="n"/>
      <c r="G43" s="250" t="n"/>
      <c r="H43" s="251" t="n"/>
      <c r="I43" s="216" t="n"/>
      <c r="J43" s="1" t="n"/>
      <c r="N43" s="17" t="n"/>
      <c r="P43" s="140" t="n"/>
    </row>
    <row r="44" ht="15.25" customHeight="1" s="367">
      <c r="A44" s="1" t="n"/>
      <c r="B44" s="216" t="n"/>
      <c r="C44" s="216" t="n"/>
      <c r="D44" s="368" t="n"/>
      <c r="E44" s="392" t="inlineStr">
        <is>
          <t>Indemnité de congés payés en cours d'acquisition par maintien de salaire</t>
        </is>
      </c>
      <c r="F44" s="216" t="n"/>
      <c r="G44" s="252">
        <f>H44/(1-taux_cotis)</f>
        <v/>
      </c>
      <c r="H44" s="252">
        <f>P44</f>
        <v/>
      </c>
      <c r="I44" s="216" t="n"/>
      <c r="J44" s="1" t="n"/>
      <c r="N44" s="17" t="n"/>
      <c r="O44" s="313" t="inlineStr">
        <is>
          <t>Maintien de salaire</t>
        </is>
      </c>
      <c r="P44" s="253">
        <f>IF(G32&lt;45,G32*G33/6*P32,(G32*G33/6*P32)+G33/6*(G32-45)*P32*P33)</f>
        <v/>
      </c>
    </row>
    <row r="45" ht="15.25" customHeight="1" s="367">
      <c r="A45" s="1" t="n"/>
      <c r="B45" s="216" t="n"/>
      <c r="C45" s="83" t="n"/>
      <c r="D45" s="368" t="n"/>
      <c r="E45" s="392" t="inlineStr">
        <is>
          <t>Indemnité de congés payés en cours d'acquisition par dixième</t>
        </is>
      </c>
      <c r="F45" s="216" t="n"/>
      <c r="G45" s="252">
        <f>H45/(1-taux_cotis)</f>
        <v/>
      </c>
      <c r="H45" s="252">
        <f>P45</f>
        <v/>
      </c>
      <c r="I45" s="216" t="n"/>
      <c r="J45" s="1" t="n"/>
      <c r="L45" s="32" t="n"/>
      <c r="N45" s="85" t="n"/>
      <c r="O45" s="314" t="inlineStr">
        <is>
          <t>Dixième</t>
        </is>
      </c>
      <c r="P45" s="246">
        <f>0.1*(H36+'Salaire du dernier mois '!G47+Régularisation!J46+'Solde de tout compte'!J24)</f>
        <v/>
      </c>
    </row>
    <row r="46" ht="15.25" customHeight="1" s="367">
      <c r="A46" s="1" t="n"/>
      <c r="B46" s="216" t="n"/>
      <c r="C46" s="83" t="n"/>
      <c r="D46" s="368" t="n"/>
      <c r="E46" s="392" t="inlineStr">
        <is>
          <t>Indemnité retenue (plus favorable entre le maintien de salaire et le dixième)</t>
        </is>
      </c>
      <c r="F46" s="216" t="n"/>
      <c r="G46" s="254">
        <f>H46/(1-taux_cotis)</f>
        <v/>
      </c>
      <c r="H46" s="254">
        <f>MAX(H44,H45)</f>
        <v/>
      </c>
      <c r="I46" s="216" t="n"/>
      <c r="J46" s="1" t="n"/>
      <c r="L46" s="32" t="n"/>
      <c r="M46" s="33" t="n"/>
    </row>
    <row r="47" ht="15.25" customHeight="1" s="367">
      <c r="A47" s="1" t="n"/>
      <c r="B47" s="216" t="n"/>
      <c r="C47" s="83" t="n"/>
      <c r="D47" s="368" t="n"/>
      <c r="E47" s="392" t="n"/>
      <c r="F47" s="216" t="n"/>
      <c r="G47" s="252" t="n"/>
      <c r="H47" s="252" t="n"/>
      <c r="I47" s="216" t="n"/>
      <c r="J47" s="1" t="n"/>
      <c r="L47" s="32" t="n"/>
    </row>
    <row r="48" ht="15.25" customHeight="1" s="367">
      <c r="A48" s="1" t="n"/>
      <c r="B48" s="216" t="n"/>
      <c r="C48" s="83" t="n"/>
      <c r="D48" s="368" t="n"/>
      <c r="E48" s="392">
        <f>IF(P2=5,"Indemnités déjà versées à déduire de l'indemnité à verser","")</f>
        <v/>
      </c>
      <c r="F48" s="216" t="n"/>
      <c r="G48" s="252">
        <f>IF(P2=5,H48/(1-taux_cotis),"")</f>
        <v/>
      </c>
      <c r="H48" s="252">
        <f>IF(P2=5,H37,"")</f>
        <v/>
      </c>
      <c r="I48" s="216" t="n"/>
      <c r="J48" s="1" t="n"/>
      <c r="M48" s="19" t="n"/>
    </row>
    <row r="49" ht="15.25" customHeight="1" s="367">
      <c r="A49" s="1" t="n"/>
      <c r="B49" s="216" t="n"/>
      <c r="C49" s="83" t="n"/>
      <c r="D49" s="7" t="n"/>
      <c r="E49" s="84">
        <f>IF(P2=5,IF(H44&lt;H45,"Indemnité à retenir dans le solde de tout compte (dixième - CP déjà versés)","Indemnité à retenir dans le solde de tout compte (maintien de salaire - CP déjà versés)"),IF(H49=H45,"Indemnité à retenir dans le solde de tout compte (dixième)","Indemnité à retenir dans le solde de tout compte (maintien de salaire)"))</f>
        <v/>
      </c>
      <c r="F49" s="216" t="n"/>
      <c r="G49" s="255">
        <f>H49/(1-taux_cotis)</f>
        <v/>
      </c>
      <c r="H49" s="255">
        <f>IF(P2=5,MAX(P44,P45)-H48,MAX(P44,P45))</f>
        <v/>
      </c>
      <c r="I49" s="216" t="n"/>
      <c r="J49" s="1" t="n"/>
      <c r="M49" s="19" t="n"/>
    </row>
    <row r="50" ht="15.25" customHeight="1" s="367">
      <c r="A50" s="1" t="n"/>
      <c r="B50" s="216" t="n"/>
      <c r="C50" s="7" t="n"/>
      <c r="D50" s="7" t="n"/>
      <c r="E50" s="216" t="n"/>
      <c r="F50" s="216" t="n"/>
      <c r="G50" s="315" t="n"/>
      <c r="H50" s="315" t="n"/>
      <c r="I50" s="216" t="n"/>
      <c r="J50" s="1" t="n"/>
      <c r="M50" s="19" t="n"/>
    </row>
    <row r="51" ht="15.25" customHeight="1" s="367">
      <c r="A51" s="1" t="n"/>
      <c r="B51" s="216" t="n"/>
      <c r="C51" s="393" t="inlineStr">
        <is>
          <t>Ces résultats sont reportés automatiquement sur l'onglet Solde de tout compte</t>
        </is>
      </c>
      <c r="I51" s="216" t="n"/>
      <c r="J51" s="1" t="n"/>
      <c r="L51" s="59" t="n"/>
      <c r="M51" s="19" t="n"/>
    </row>
    <row r="52">
      <c r="A52" s="1" t="n"/>
      <c r="B52" s="369">
        <f>CONCATENATE("Copyright @ zen-avec-mon-assmat.com                                   Conforme à la législation en vigueur au ",date_maj)</f>
        <v/>
      </c>
      <c r="J52" s="1" t="n"/>
      <c r="L52" s="142">
        <f>IF(H49&lt;0,"Le trop versé au titre des congés payés peut être régularisé dans le solde","")</f>
        <v/>
      </c>
    </row>
    <row r="53">
      <c r="A53" s="1" t="n"/>
      <c r="B53" s="1" t="n"/>
      <c r="C53" s="1" t="n"/>
      <c r="D53" s="1" t="n"/>
      <c r="E53" s="1" t="n"/>
      <c r="F53" s="1" t="n"/>
      <c r="G53" s="1" t="n"/>
      <c r="H53" s="1" t="n"/>
      <c r="I53" s="1" t="n"/>
      <c r="J53" s="1" t="n"/>
      <c r="L53" s="141">
        <f>IF(H49&lt;0,"de tout compte, mais prévenez votre assistante maternelle","")</f>
        <v/>
      </c>
    </row>
  </sheetData>
  <sheetProtection selectLockedCells="1" selectUnlockedCells="0" algorithmName="SHA-512" sheet="1" objects="1" insertRows="1" insertHyperlinks="1" autoFilter="1" scenarios="1" formatColumns="1" deleteColumns="1" insertColumns="1" pivotTables="1" deleteRows="1" formatCells="1" saltValue="Z9l6273yAUpI3kBrcBJpgg==" formatRows="1" sort="1" spinCount="100000" hashValue="j8/rTGUiIou65XaKvfH9atvcpq4jBoKUDafxxnUXxmU7NngqXq91VyMXZFhvskNLUxxuLxWxqJhysEs3wlDM5g=="/>
  <mergeCells count="43">
    <mergeCell ref="E13:G13"/>
    <mergeCell ref="B30:E30"/>
    <mergeCell ref="L41:L43"/>
    <mergeCell ref="G23:H23"/>
    <mergeCell ref="B20:E20"/>
    <mergeCell ref="L15:L16"/>
    <mergeCell ref="B36:E36"/>
    <mergeCell ref="B32:E32"/>
    <mergeCell ref="C51:H51"/>
    <mergeCell ref="B52:I52"/>
    <mergeCell ref="L21:L23"/>
    <mergeCell ref="C23:E23"/>
    <mergeCell ref="L4:L5"/>
    <mergeCell ref="G28:H28"/>
    <mergeCell ref="L39:L40"/>
    <mergeCell ref="E14:H14"/>
    <mergeCell ref="B31:E31"/>
    <mergeCell ref="B42:D43"/>
    <mergeCell ref="C8:I9"/>
    <mergeCell ref="G24:H24"/>
    <mergeCell ref="G30:H30"/>
    <mergeCell ref="G33:H33"/>
    <mergeCell ref="C11:G11"/>
    <mergeCell ref="B19:F19"/>
    <mergeCell ref="E2:I4"/>
    <mergeCell ref="B40:C40"/>
    <mergeCell ref="E5:I6"/>
    <mergeCell ref="L11:L12"/>
    <mergeCell ref="C24:E24"/>
    <mergeCell ref="L2:L3"/>
    <mergeCell ref="G29:H29"/>
    <mergeCell ref="C33:E33"/>
    <mergeCell ref="L17:L18"/>
    <mergeCell ref="L8:L10"/>
    <mergeCell ref="G32:H32"/>
    <mergeCell ref="B29:E29"/>
    <mergeCell ref="L24:L26"/>
    <mergeCell ref="L28:L34"/>
    <mergeCell ref="G31:H31"/>
    <mergeCell ref="L36:L37"/>
    <mergeCell ref="B37:E37"/>
    <mergeCell ref="B21:E22"/>
    <mergeCell ref="B28:E28"/>
  </mergeCells>
  <conditionalFormatting sqref="E14:H14">
    <cfRule type="containsText" priority="1" operator="containsText" dxfId="0" text="interdit">
      <formula>NOT(ISERROR(SEARCH("interdit",E14)))</formula>
    </cfRule>
  </conditionalFormatting>
  <dataValidations count="2">
    <dataValidation sqref="G16" showDropDown="0" showInputMessage="1" showErrorMessage="1" allowBlank="1" type="list">
      <formula1>l_cpp</formula1>
      <formula2>0</formula2>
    </dataValidation>
    <dataValidation sqref="E14:H14" showDropDown="0" showInputMessage="1" showErrorMessage="1" allowBlank="1" type="list">
      <formula1>l_cp</formula1>
      <formula2>0</formula2>
    </dataValidation>
  </dataValidations>
  <hyperlinks>
    <hyperlink xmlns:r="http://schemas.openxmlformats.org/officeDocument/2006/relationships" ref="L8" r:id="rId1"/>
    <hyperlink ref="C11" location="'Solde de tout compte'!A1" display="- aller directement calculer le solde de tout compte"/>
    <hyperlink xmlns:r="http://schemas.openxmlformats.org/officeDocument/2006/relationships" ref="L21" r:id="rId2"/>
  </hyperlinks>
  <pageMargins left="0.7" right="0.7" top="0.75" bottom="0.75" header="0.511805555555555" footer="0.511805555555555"/>
  <pageSetup orientation="portrait" paperSize="9" firstPageNumber="0" horizontalDpi="4294967293" verticalDpi="4294967293"/>
  <drawing xmlns:r="http://schemas.openxmlformats.org/officeDocument/2006/relationships" r:id="rId3"/>
</worksheet>
</file>

<file path=xl/worksheets/sheet6.xml><?xml version="1.0" encoding="utf-8"?>
<worksheet xmlns="http://schemas.openxmlformats.org/spreadsheetml/2006/main">
  <sheetPr>
    <outlinePr summaryBelow="1" summaryRight="1"/>
    <pageSetUpPr fitToPage="1"/>
  </sheetPr>
  <dimension ref="A1:S73"/>
  <sheetViews>
    <sheetView showGridLines="0" showRowColHeaders="0" zoomScaleNormal="100" workbookViewId="0">
      <selection activeCell="E9" sqref="E9:I9"/>
    </sheetView>
  </sheetViews>
  <sheetFormatPr baseColWidth="10" defaultColWidth="9.1640625" defaultRowHeight="15"/>
  <cols>
    <col width="2.5" customWidth="1" style="400" min="1" max="1"/>
    <col width="4.6640625" customWidth="1" style="400" min="2" max="2"/>
    <col width="34.5" customWidth="1" style="400" min="3" max="3"/>
    <col width="5.5" customWidth="1" style="400" min="4" max="4"/>
    <col width="14.5" customWidth="1" style="400" min="5" max="5"/>
    <col width="18.33203125" customWidth="1" style="400" min="6" max="6"/>
    <col width="3.6640625" customWidth="1" style="400" min="7" max="7"/>
    <col width="9.5" bestFit="1" customWidth="1" style="400" min="8" max="8"/>
    <col width="5.83203125" customWidth="1" style="400" min="9" max="9"/>
    <col width="10.83203125" bestFit="1" customWidth="1" style="400" min="10" max="10"/>
    <col width="4.5" customWidth="1" style="445" min="11" max="11"/>
    <col width="2.5" customWidth="1" style="400" min="12" max="12"/>
    <col width="3.5" customWidth="1" style="400" min="13" max="13"/>
    <col width="69.5" customWidth="1" style="400" min="14" max="14"/>
    <col hidden="1" width="9.1640625" customWidth="1" style="400" min="15" max="15"/>
    <col hidden="1" width="53.6640625" customWidth="1" style="400" min="16" max="16"/>
    <col hidden="1" width="10.6640625" customWidth="1" style="400" min="17" max="17"/>
    <col hidden="1" width="9.1640625" customWidth="1" style="400" min="18" max="18"/>
    <col width="15.83203125" customWidth="1" style="400" min="19" max="19"/>
    <col width="20.5" customWidth="1" style="400" min="20" max="24"/>
    <col width="10.5" customWidth="1" style="400" min="25" max="1025"/>
    <col width="9.1640625" customWidth="1" style="400" min="1026" max="1033"/>
    <col width="9.1640625" customWidth="1" style="400" min="1034" max="16384"/>
  </cols>
  <sheetData>
    <row r="1" ht="15.25" customHeight="1" s="367" thickBot="1">
      <c r="A1" s="44" t="n"/>
      <c r="B1" s="44" t="n"/>
      <c r="C1" s="44" t="n"/>
      <c r="D1" s="44" t="n"/>
      <c r="E1" s="44" t="n"/>
      <c r="F1" s="44" t="n"/>
      <c r="G1" s="44" t="n"/>
      <c r="H1" s="44" t="n"/>
      <c r="I1" s="44" t="n"/>
      <c r="J1" s="44" t="n"/>
      <c r="K1" s="162" t="n"/>
      <c r="L1" s="44" t="n"/>
    </row>
    <row r="2" ht="15.25" customHeight="1" s="367">
      <c r="A2" s="44" t="n"/>
      <c r="E2" s="12" t="n"/>
      <c r="F2" s="390" t="inlineStr">
        <is>
          <t>contrat &lt;= 46 semaines (année incomplète)</t>
        </is>
      </c>
      <c r="L2" s="44" t="n"/>
      <c r="N2" s="383" t="inlineStr">
        <is>
          <t>Mode d'emploi</t>
        </is>
      </c>
      <c r="O2" s="441" t="n"/>
      <c r="P2" s="163" t="n"/>
      <c r="Q2" s="163" t="inlineStr">
        <is>
          <t>CDI</t>
        </is>
      </c>
    </row>
    <row r="3" ht="15.25" customHeight="1" s="367">
      <c r="A3" s="44" t="n"/>
      <c r="D3" s="164" t="inlineStr">
        <is>
          <t>2 actions</t>
        </is>
      </c>
      <c r="L3" s="44" t="n"/>
      <c r="N3" s="384" t="n"/>
      <c r="O3" s="441" t="n"/>
      <c r="P3" s="165" t="n"/>
      <c r="Q3" s="165" t="inlineStr">
        <is>
          <t>CDD</t>
        </is>
      </c>
    </row>
    <row r="4" ht="15.25" customHeight="1" s="367" thickBot="1">
      <c r="A4" s="44" t="n"/>
      <c r="D4" s="164" t="inlineStr">
        <is>
          <t>3 mn de préparation</t>
        </is>
      </c>
      <c r="L4" s="44" t="n"/>
      <c r="N4" s="166" t="inlineStr">
        <is>
          <t>Pour finaliser le solde de tout compte, munissez-vous :</t>
        </is>
      </c>
      <c r="O4" s="441" t="n"/>
      <c r="P4" s="165" t="n"/>
      <c r="Q4" s="167">
        <f>IF(Q5=5,2,1)</f>
        <v/>
      </c>
    </row>
    <row r="5" ht="15.25" customHeight="1" s="367">
      <c r="A5" s="44" t="n"/>
      <c r="D5" s="164" t="inlineStr">
        <is>
          <t>4 mn de remplissage</t>
        </is>
      </c>
      <c r="F5" s="374" t="inlineStr">
        <is>
          <t>Solde de tout compte</t>
        </is>
      </c>
      <c r="L5" s="44" t="n"/>
      <c r="N5" s="472" t="inlineStr">
        <is>
          <t>- en cas de licenciement (hors faute grave), du total des salaires nets versés depuis le début du contrat</t>
        </is>
      </c>
      <c r="P5" s="168" t="inlineStr">
        <is>
          <t>Cause</t>
        </is>
      </c>
      <c r="Q5" s="169">
        <f>IF(E9=P6,1,IF(E9=P7,2,IF(E9=P8,3,IF(E9=P9,4,5))))</f>
        <v/>
      </c>
    </row>
    <row r="6" ht="15.25" customHeight="1" s="367">
      <c r="A6" s="44" t="n"/>
      <c r="D6" s="12" t="n"/>
      <c r="E6" s="12" t="n"/>
      <c r="L6" s="44" t="n"/>
      <c r="N6" s="384" t="n"/>
      <c r="P6" s="170" t="inlineStr">
        <is>
          <t>Démission de l'assistante maternelle</t>
        </is>
      </c>
      <c r="Q6" s="171" t="n"/>
    </row>
    <row r="7" ht="15.25" customHeight="1" s="367">
      <c r="A7" s="44" t="n"/>
      <c r="B7" s="172" t="n"/>
      <c r="C7" s="448" t="inlineStr">
        <is>
          <t>Le contrat</t>
        </is>
      </c>
      <c r="E7" s="172" t="n"/>
      <c r="F7" s="172" t="n"/>
      <c r="G7" s="172" t="n"/>
      <c r="H7" s="172" t="n"/>
      <c r="I7" s="172" t="n"/>
      <c r="J7" s="172" t="n"/>
      <c r="K7" s="173" t="n"/>
      <c r="L7" s="44" t="n"/>
      <c r="N7" s="473" t="inlineStr">
        <is>
          <t>- le cas échéant, du montant dû au titre du préavis (ou de la partie de préavis) non effectué</t>
        </is>
      </c>
      <c r="O7" s="174" t="n"/>
      <c r="P7" s="170" t="inlineStr">
        <is>
          <t>Licenciement (retrait d'enfant)</t>
        </is>
      </c>
      <c r="Q7" s="171" t="n"/>
    </row>
    <row r="8" ht="15.25" customHeight="1" s="367">
      <c r="A8" s="44" t="n"/>
      <c r="B8" s="172" t="n"/>
      <c r="E8" s="172" t="n"/>
      <c r="F8" s="172" t="n"/>
      <c r="G8" s="172" t="n"/>
      <c r="H8" s="172" t="n"/>
      <c r="I8" s="172" t="n"/>
      <c r="J8" s="172" t="n"/>
      <c r="K8" s="173" t="n"/>
      <c r="L8" s="44" t="n"/>
      <c r="N8" s="405" t="n"/>
      <c r="P8" s="170" t="inlineStr">
        <is>
          <t>Licenciement (suspension ou retrait d'agrément)</t>
        </is>
      </c>
      <c r="Q8" s="171" t="n"/>
    </row>
    <row r="9" ht="15.25" customHeight="1" s="367">
      <c r="A9" s="44" t="n"/>
      <c r="B9" s="172" t="n"/>
      <c r="C9" s="379" t="inlineStr">
        <is>
          <t>Motif de rupture du contrat</t>
        </is>
      </c>
      <c r="D9" s="172" t="n"/>
      <c r="E9" s="450" t="inlineStr">
        <is>
          <t>Licenciement (retrait d'enfant)</t>
        </is>
      </c>
      <c r="F9" s="439" t="n"/>
      <c r="G9" s="439" t="n"/>
      <c r="H9" s="439" t="n"/>
      <c r="I9" s="427" t="n"/>
      <c r="J9" s="173" t="n"/>
      <c r="K9" s="175" t="n"/>
      <c r="L9" s="44" t="n"/>
      <c r="N9" s="441" t="n"/>
      <c r="P9" s="170" t="inlineStr">
        <is>
          <t>Licenciement pour faute grave</t>
        </is>
      </c>
      <c r="Q9" s="171" t="n"/>
    </row>
    <row r="10" ht="15.25" customHeight="1" s="367" thickBot="1">
      <c r="A10" s="44" t="n"/>
      <c r="B10" s="176" t="n"/>
      <c r="C10" s="379" t="inlineStr">
        <is>
          <t>Le préavis sera</t>
        </is>
      </c>
      <c r="D10" s="176" t="n"/>
      <c r="E10" s="450" t="inlineStr">
        <is>
          <t>Effectué</t>
        </is>
      </c>
      <c r="F10" s="439" t="n"/>
      <c r="G10" s="439" t="n"/>
      <c r="H10" s="439" t="n"/>
      <c r="I10" s="427" t="n"/>
      <c r="J10" s="173" t="n"/>
      <c r="K10" s="175" t="n"/>
      <c r="L10" s="44" t="n"/>
      <c r="P10" s="46" t="inlineStr">
        <is>
          <t>Fin de CDD</t>
        </is>
      </c>
      <c r="Q10" s="177" t="n"/>
    </row>
    <row r="11" ht="15.25" customHeight="1" s="367" thickBot="1">
      <c r="A11" s="44" t="n"/>
      <c r="B11" s="172" t="n"/>
      <c r="C11" s="172" t="n"/>
      <c r="D11" s="172" t="n"/>
      <c r="E11" s="172" t="n"/>
      <c r="F11" s="172" t="n"/>
      <c r="G11" s="172" t="n"/>
      <c r="H11" s="172" t="n"/>
      <c r="I11" s="172" t="n"/>
      <c r="J11" s="173" t="n"/>
      <c r="K11" s="175" t="n"/>
      <c r="L11" s="44" t="n"/>
      <c r="N11" s="441">
        <f>IF(OR(motif=1,motif=5,motif=4),"","(1) A calculer avec le calculateur Dates de la fin de contrat présent dans l'Espace privé. Ne pas remplir en cas de démission ou de CDD")</f>
        <v/>
      </c>
      <c r="P11" s="46" t="n"/>
      <c r="Q11" s="177" t="n"/>
    </row>
    <row r="12" ht="15.25" customHeight="1" s="367" thickBot="1">
      <c r="A12" s="44" t="n"/>
      <c r="B12" s="172" t="n"/>
      <c r="C12" s="172" t="n"/>
      <c r="D12" s="172" t="n"/>
      <c r="E12" s="172" t="n"/>
      <c r="F12" s="379">
        <f>IF(OR(motif=1,motif=5,motif=4),"","Ancienneté en mois à la date d'envoi de la lettre de licenciement (1) (2)")</f>
        <v/>
      </c>
      <c r="G12" s="172" t="n"/>
      <c r="H12" s="450" t="n"/>
      <c r="I12" s="427" t="n"/>
      <c r="J12" s="173" t="n"/>
      <c r="K12" s="173" t="n"/>
      <c r="L12" s="44" t="n"/>
      <c r="O12" s="174" t="n"/>
    </row>
    <row r="13" ht="15.25" customHeight="1" s="367">
      <c r="A13" s="44" t="n"/>
      <c r="B13" s="172" t="n"/>
      <c r="C13" s="172" t="n"/>
      <c r="D13" s="172" t="n"/>
      <c r="E13" s="172" t="n"/>
      <c r="F13" s="379" t="inlineStr">
        <is>
          <t>Date anniversaire du contrat</t>
        </is>
      </c>
      <c r="G13" s="316" t="n"/>
      <c r="H13" s="466">
        <f>IF(DATE(YEAR(Q20),MONTH(Q19),DAY(Q19))&lt;Q20,DATE(YEAR(Q20),MONTH(Q19),DAY(Q19)),DATE(YEAR(Q20)-1,MONTH(Q19),DAY(Q19)))</f>
        <v/>
      </c>
      <c r="K13" s="173" t="n"/>
      <c r="L13" s="44" t="n"/>
      <c r="N13" s="400">
        <f>IF(OR(motif=1,motif=5,motif=4),"","(2) Sert à valider le droit à l'indemnité de fin de contrat")</f>
        <v/>
      </c>
      <c r="P13" s="168" t="inlineStr">
        <is>
          <t>Effectué</t>
        </is>
      </c>
      <c r="Q13" s="169">
        <f>IF('Solde de tout compte'!E10=P13,1,IF('Solde de tout compte'!E10=P14,2,3))</f>
        <v/>
      </c>
    </row>
    <row r="14" ht="15.25" customHeight="1" s="367">
      <c r="A14" s="44" t="n"/>
      <c r="B14" s="172" t="n"/>
      <c r="C14" s="172" t="n"/>
      <c r="D14" s="172" t="n"/>
      <c r="E14" s="172" t="n"/>
      <c r="F14" s="379" t="inlineStr">
        <is>
          <t>Dernier jour rémunéré du contrat (3)</t>
        </is>
      </c>
      <c r="G14" s="316" t="n"/>
      <c r="H14" s="466">
        <f>Q20</f>
        <v/>
      </c>
      <c r="K14" s="173" t="n"/>
      <c r="L14" s="44" t="n"/>
      <c r="N14" s="400" t="inlineStr">
        <is>
          <t>(3) Date reprise de l'onglet "Données du contrat"</t>
        </is>
      </c>
      <c r="P14" s="170" t="inlineStr">
        <is>
          <t>Non (ou partiellement) effectué à la demande des parents</t>
        </is>
      </c>
      <c r="Q14" s="171" t="n"/>
    </row>
    <row r="15" ht="15.25" customHeight="1" s="367" thickBot="1">
      <c r="A15" s="44" t="n"/>
      <c r="B15" s="172" t="n"/>
      <c r="C15" s="172" t="n"/>
      <c r="D15" s="172" t="n"/>
      <c r="E15" s="172" t="n"/>
      <c r="F15" s="379" t="inlineStr">
        <is>
          <t>Région du domicile de l'assistante maternelle</t>
        </is>
      </c>
      <c r="G15" s="469">
        <f>IF('Données du contrat'!O14=1,"Autre région qu'Alsace ou Moselle","Alsace Moselle")</f>
        <v/>
      </c>
      <c r="K15" s="175" t="n"/>
      <c r="L15" s="44" t="n"/>
      <c r="P15" s="46" t="inlineStr">
        <is>
          <t>Non effectué à la demande de l'assistante maternelle</t>
        </is>
      </c>
      <c r="Q15" s="177" t="n"/>
      <c r="R15" s="178" t="n"/>
    </row>
    <row r="16" ht="15.25" customHeight="1" s="367">
      <c r="A16" s="44" t="n"/>
      <c r="B16" s="172" t="n"/>
      <c r="C16" s="172" t="n"/>
      <c r="D16" s="172" t="n"/>
      <c r="E16" s="173" t="n"/>
      <c r="F16" s="173" t="n"/>
      <c r="G16" s="172" t="n"/>
      <c r="H16" s="172" t="n"/>
      <c r="I16" s="172" t="n"/>
      <c r="J16" s="173" t="n"/>
      <c r="K16" s="173" t="n"/>
      <c r="L16" s="44" t="n"/>
      <c r="Q16" s="179" t="n"/>
    </row>
    <row r="17" ht="15.25" customHeight="1" s="367" thickBot="1">
      <c r="A17" s="44" t="n"/>
      <c r="B17" s="172" t="n"/>
      <c r="C17" s="470">
        <f>IF(OR(motif=5,AND(OR(motif=2,motif=3),H12&gt;=9)),"TOTAL des salaires BRUTS versés depuis le début du contrat, y compris indemnités de congés payés (hors dernier mois de travail et hors montant du solde de tout compte) (4)","")</f>
        <v/>
      </c>
      <c r="I17" s="172" t="n"/>
      <c r="J17" s="172" t="n"/>
      <c r="K17" s="173" t="n"/>
      <c r="L17" s="44" t="n"/>
      <c r="N17" s="441">
        <f>IF(OR(motif=5,AND(OR(motif=2,motif=3),H12&gt;=9)),"(4) Il faut prendre en compte pour les périodes de chômage partiel les salaires qu’auraient dû percevoir l'assmat si elle avait travaillé pendant la période d’indemnisation exceptionnelle.","")</f>
        <v/>
      </c>
    </row>
    <row r="18" ht="15.25" customHeight="1" s="367">
      <c r="A18" s="44" t="n"/>
      <c r="B18" s="172" t="n"/>
      <c r="I18" s="471" t="n"/>
      <c r="J18" s="427" t="n"/>
      <c r="K18" s="173" t="n"/>
      <c r="L18" s="44" t="n"/>
      <c r="P18" s="180" t="inlineStr">
        <is>
          <t>Données du contrat</t>
        </is>
      </c>
      <c r="Q18" s="181" t="n"/>
    </row>
    <row r="19" ht="15.25" customHeight="1" s="367">
      <c r="A19" s="44" t="n"/>
      <c r="B19" s="172" t="n"/>
      <c r="C19" s="172" t="n"/>
      <c r="D19" s="172" t="n"/>
      <c r="E19" s="172" t="n"/>
      <c r="F19" s="172" t="n"/>
      <c r="G19" s="172" t="n"/>
      <c r="H19" s="172" t="n"/>
      <c r="I19" s="172" t="n"/>
      <c r="J19" s="172" t="n"/>
      <c r="K19" s="173" t="n"/>
      <c r="L19" s="44" t="n"/>
      <c r="P19" s="182" t="inlineStr">
        <is>
          <t>Date d'embauche de l'assmat</t>
        </is>
      </c>
      <c r="Q19" s="183">
        <f>'Données du contrat'!$F$14</f>
        <v/>
      </c>
      <c r="R19" s="184" t="n"/>
    </row>
    <row r="20" ht="15.25" customHeight="1" s="367">
      <c r="A20" s="44" t="n"/>
      <c r="B20" s="185" t="n"/>
      <c r="C20" s="185" t="n"/>
      <c r="D20" s="185" t="n"/>
      <c r="E20" s="185" t="n"/>
      <c r="F20" s="185" t="n"/>
      <c r="G20" s="185" t="n"/>
      <c r="H20" s="185" t="n"/>
      <c r="I20" s="185" t="n"/>
      <c r="J20" s="185" t="n"/>
      <c r="K20" s="186" t="n"/>
      <c r="L20" s="44" t="n"/>
      <c r="P20" s="182" t="inlineStr">
        <is>
          <t>Dernier jour (travaillé / rémunéré) du contrat de travail (1)</t>
        </is>
      </c>
      <c r="Q20" s="187">
        <f>'Données du contrat'!F16</f>
        <v/>
      </c>
    </row>
    <row r="21" ht="15.25" customHeight="1" s="367">
      <c r="A21" s="44" t="n"/>
      <c r="B21" s="185" t="n"/>
      <c r="C21" s="185" t="n"/>
      <c r="D21" s="185" t="n"/>
      <c r="E21" s="185" t="n"/>
      <c r="F21" s="185" t="n"/>
      <c r="G21" s="185" t="n"/>
      <c r="H21" s="56" t="inlineStr">
        <is>
          <t>BRUT</t>
        </is>
      </c>
      <c r="I21" s="56" t="n"/>
      <c r="J21" s="56" t="inlineStr">
        <is>
          <t>NET</t>
        </is>
      </c>
      <c r="K21" s="186" t="n"/>
      <c r="L21" s="44" t="n"/>
      <c r="N21" s="400" t="inlineStr">
        <is>
          <t>(5) Montant repris de l'onglet "Salaire du dernier mois"</t>
        </is>
      </c>
    </row>
    <row r="22" ht="15.25" customHeight="1" s="367">
      <c r="A22" s="44" t="n"/>
      <c r="B22" s="185" t="n"/>
      <c r="C22" s="185" t="n"/>
      <c r="D22" s="185" t="n"/>
      <c r="E22" s="185" t="n"/>
      <c r="F22" s="464" t="inlineStr">
        <is>
          <t>Salaire du dernier mois de travail (5)</t>
        </is>
      </c>
      <c r="G22" s="317" t="n"/>
      <c r="H22" s="256">
        <f>J22/(1-taux_cotis)</f>
        <v/>
      </c>
      <c r="I22" s="256" t="n"/>
      <c r="J22" s="257">
        <f>'Salaire du dernier mois '!G47</f>
        <v/>
      </c>
      <c r="K22" s="186" t="n"/>
      <c r="L22" s="44" t="n"/>
      <c r="S22" s="188" t="n"/>
    </row>
    <row r="23" ht="15.25" customHeight="1" s="367">
      <c r="A23" s="44" t="n"/>
      <c r="B23" s="185" t="n"/>
      <c r="C23" s="185" t="n"/>
      <c r="D23" s="185" t="n"/>
      <c r="E23" s="185" t="n"/>
      <c r="F23" s="464" t="inlineStr">
        <is>
          <t>Régularisation de salaires en faveur de l'assmat (du fait de l'année incomplète) (6)</t>
        </is>
      </c>
      <c r="G23" s="317" t="n"/>
      <c r="H23" s="256">
        <f>Régularisation!I46</f>
        <v/>
      </c>
      <c r="I23" s="258" t="n"/>
      <c r="J23" s="256">
        <f>Régularisation!J46</f>
        <v/>
      </c>
      <c r="K23" s="186" t="n"/>
      <c r="L23" s="44" t="n"/>
    </row>
    <row r="24" ht="15.25" customHeight="1" s="367">
      <c r="A24" s="44" t="n"/>
      <c r="B24" s="185" t="n"/>
      <c r="C24" s="185" t="n"/>
      <c r="D24" s="186" t="n"/>
      <c r="E24" s="186" t="n"/>
      <c r="F24" s="464">
        <f>IF('Solde de tout compte'!Q13=2,"Paiement du préavis non effectué","")</f>
        <v/>
      </c>
      <c r="G24" s="186" t="n"/>
      <c r="H24" s="256">
        <f>J24/(1-taux_cotis)</f>
        <v/>
      </c>
      <c r="I24" s="256" t="n"/>
      <c r="J24" s="259" t="n"/>
      <c r="K24" s="186" t="n"/>
      <c r="L24" s="44" t="n"/>
      <c r="N24" s="400" t="inlineStr">
        <is>
          <t>(6) Cette régularisation ne peut pas être en faveur des parents (négative)</t>
        </is>
      </c>
      <c r="O24" s="441" t="n"/>
      <c r="S24" s="188" t="n"/>
    </row>
    <row r="25" ht="15.25" customHeight="1" s="367" thickBot="1">
      <c r="A25" s="44" t="n"/>
      <c r="B25" s="185" t="n"/>
      <c r="C25" s="185" t="n"/>
      <c r="D25" s="185" t="n"/>
      <c r="E25" s="185" t="n"/>
      <c r="F25" s="464" t="inlineStr">
        <is>
          <t>Salaire restant dû au titre des congés payés acquis (7)</t>
        </is>
      </c>
      <c r="G25" s="318" t="n"/>
      <c r="H25" s="256">
        <f>J25/(1-taux_cotis)</f>
        <v/>
      </c>
      <c r="I25" s="260" t="n"/>
      <c r="J25" s="256">
        <f>'Congés payés'!H41</f>
        <v/>
      </c>
      <c r="K25" s="186" t="n"/>
      <c r="L25" s="44" t="n"/>
      <c r="N25" s="400" t="inlineStr">
        <is>
          <t>Calcul repris de l'onglet "Régularisation"</t>
        </is>
      </c>
      <c r="O25" s="441" t="n"/>
      <c r="S25" s="188" t="n"/>
    </row>
    <row r="26" ht="15.25" customHeight="1" s="367">
      <c r="A26" s="44" t="n"/>
      <c r="B26" s="185" t="n"/>
      <c r="C26" s="185" t="n"/>
      <c r="D26" s="185" t="n"/>
      <c r="E26" s="185" t="n"/>
      <c r="F26" s="464" t="inlineStr">
        <is>
          <t>Salaire dû au titre des congés payés en cours d'acquisition (7)</t>
        </is>
      </c>
      <c r="G26" s="318" t="n"/>
      <c r="H26" s="256">
        <f>J26/(1-taux_cotis)</f>
        <v/>
      </c>
      <c r="I26" s="260" t="n"/>
      <c r="J26" s="256">
        <f>'Congés payés'!H49</f>
        <v/>
      </c>
      <c r="K26" s="186" t="n"/>
      <c r="L26" s="44" t="n"/>
      <c r="P26" s="168" t="inlineStr">
        <is>
          <t>5 SMIC</t>
        </is>
      </c>
      <c r="Q26" s="189">
        <f>H29/5/'Données du contrat'!O6</f>
        <v/>
      </c>
      <c r="R26" s="190" t="n"/>
      <c r="S26" s="188" t="n"/>
    </row>
    <row r="27" ht="15.25" customHeight="1" s="367">
      <c r="A27" s="44" t="n"/>
      <c r="B27" s="185" t="n"/>
      <c r="C27" s="185">
        <f>IF(Q4=1,IF(H27&lt;&gt;0,"seulement en cas de CDD",""),IF(H27=0,"Prime de précarité obligatoire sauf dans certains cas",""))</f>
        <v/>
      </c>
      <c r="D27" s="186" t="n"/>
      <c r="E27" s="185" t="n"/>
      <c r="F27" s="464">
        <f>IF(Q4=1,"","Prime de précarité (8)")</f>
        <v/>
      </c>
      <c r="G27" s="186" t="n"/>
      <c r="H27" s="256">
        <f>J27/(1-taux_cotis)</f>
        <v/>
      </c>
      <c r="I27" s="256" t="n"/>
      <c r="J27" s="257">
        <f>IF(motif=5,0.1*(I18*(1-taux_cotis)+J22+J23+J24+J25+J26),0)</f>
        <v/>
      </c>
      <c r="K27" s="186" t="n"/>
      <c r="L27" s="44" t="n"/>
      <c r="N27" s="400" t="inlineStr">
        <is>
          <t>(7) Nombres et montants repris de l'onglet "Congés payés"</t>
        </is>
      </c>
      <c r="P27" s="170" t="inlineStr">
        <is>
          <t>nb jours activité</t>
        </is>
      </c>
      <c r="Q27" s="171">
        <f>ROUNDUP((J29-J26-J25)/'Données du contrat'!G26/('Données du contrat'!F20/'Données du contrat'!F22),0)</f>
        <v/>
      </c>
      <c r="R27" s="191" t="n"/>
      <c r="S27" s="192" t="n"/>
    </row>
    <row r="28" ht="15.25" customHeight="1" s="367" thickBot="1">
      <c r="A28" s="44" t="n"/>
      <c r="B28" s="452" t="inlineStr">
        <is>
          <t>Solde de
tout compte</t>
        </is>
      </c>
      <c r="D28" s="185" t="n"/>
      <c r="E28" s="185" t="n"/>
      <c r="F28" s="464" t="n"/>
      <c r="G28" s="318" t="n"/>
      <c r="H28" s="256" t="n"/>
      <c r="I28" s="260" t="n"/>
      <c r="J28" s="256" t="n"/>
      <c r="K28" s="186" t="n"/>
      <c r="L28" s="44" t="n"/>
      <c r="N28" s="193" t="n"/>
      <c r="P28" s="46" t="inlineStr">
        <is>
          <t>nb jours activité à déclarer</t>
        </is>
      </c>
      <c r="Q28" s="177">
        <f>IF((Q27+H46)&lt;Q26,ROUNDUP(Q26-H46,0),Q27)</f>
        <v/>
      </c>
    </row>
    <row r="29" ht="15.25" customHeight="1" s="367">
      <c r="A29" s="44" t="n"/>
      <c r="D29" s="453" t="inlineStr">
        <is>
          <t>Sommes soumises à charges sociales</t>
        </is>
      </c>
      <c r="G29" s="318" t="n"/>
      <c r="H29" s="256">
        <f>SUM(H22:H27)</f>
        <v/>
      </c>
      <c r="I29" s="260" t="n"/>
      <c r="J29" s="261">
        <f>SUM(J22:J27)</f>
        <v/>
      </c>
      <c r="K29" s="56" t="inlineStr">
        <is>
          <t>A</t>
        </is>
      </c>
      <c r="L29" s="44" t="n"/>
      <c r="N29" s="441">
        <f>IF(Q4=2,"(8) 10 % x (total des salaires versés depuis le début du CDD + montant du solde de tout compte)","")</f>
        <v/>
      </c>
    </row>
    <row r="30" ht="15.25" customHeight="1" s="367">
      <c r="A30" s="44" t="n"/>
      <c r="D30" s="185" t="n"/>
      <c r="E30" s="185" t="n"/>
      <c r="F30" s="464" t="n"/>
      <c r="G30" s="318" t="n"/>
      <c r="H30" s="318" t="n"/>
      <c r="I30" s="318" t="n"/>
      <c r="J30" s="318" t="n"/>
      <c r="K30" s="56" t="n"/>
      <c r="L30" s="44" t="n"/>
    </row>
    <row r="31" ht="15.25" customHeight="1" s="367">
      <c r="A31" s="44" t="n"/>
      <c r="B31" s="185" t="n"/>
      <c r="C31" s="185" t="n"/>
      <c r="D31" s="185" t="n"/>
      <c r="E31" s="185" t="n"/>
      <c r="F31" s="464" t="inlineStr">
        <is>
          <t>Prime exceptionnelle de fin de contrat (9)</t>
        </is>
      </c>
      <c r="G31" s="318" t="n"/>
      <c r="H31" s="467" t="n"/>
      <c r="I31" s="439" t="n"/>
      <c r="J31" s="427" t="n"/>
      <c r="K31" s="56" t="inlineStr">
        <is>
          <t>B</t>
        </is>
      </c>
      <c r="L31" s="44" t="n"/>
      <c r="N31" s="193">
        <f>IF(Q4=2,"La prime de précarité doit être comptée en net 2018","")</f>
        <v/>
      </c>
      <c r="P31" s="400" t="inlineStr">
        <is>
          <t>Salaire dernier mois modifié ?</t>
        </is>
      </c>
      <c r="Q31" s="400">
        <f>IF('Salaire du dernier mois '!G47=J22,0,1)</f>
        <v/>
      </c>
      <c r="S31" s="194" t="n"/>
    </row>
    <row r="32" ht="15.25" customHeight="1" s="367">
      <c r="A32" s="44" t="n"/>
      <c r="B32" s="185" t="n"/>
      <c r="C32" s="464">
        <f>IF(OR(Q5=5,Q5=4,Q5=1,Q5=3),"",IF(H32=0,"Indemnités de fin de contrat (licenciement sauf faute grave) (10)","Indemnités de fin de contrat (licenciement sauf faute grave)"))</f>
        <v/>
      </c>
      <c r="G32" s="318" t="n"/>
      <c r="H32" s="468">
        <f>Q39</f>
        <v/>
      </c>
      <c r="K32" s="56" t="inlineStr">
        <is>
          <t>C</t>
        </is>
      </c>
      <c r="L32" s="44" t="n"/>
      <c r="N32" s="195" t="n"/>
      <c r="S32" s="262" t="n"/>
    </row>
    <row r="33" ht="15.25" customHeight="1" s="367" thickBot="1">
      <c r="A33" s="44" t="n"/>
      <c r="B33" s="185" t="n"/>
      <c r="C33" s="185" t="n"/>
      <c r="D33" s="185" t="n"/>
      <c r="E33" s="185" t="n"/>
      <c r="F33" s="464" t="n"/>
      <c r="G33" s="319" t="n"/>
      <c r="H33" s="263" t="n"/>
      <c r="I33" s="263" t="n"/>
      <c r="J33" s="263" t="n"/>
      <c r="K33" s="186" t="n"/>
      <c r="L33" s="44" t="n"/>
      <c r="N33" s="196" t="inlineStr">
        <is>
          <t>(9) Cette prime éventuelle est assimilée à une indemnité de fin de contrat</t>
        </is>
      </c>
    </row>
    <row r="34" ht="15.25" customHeight="1" s="367">
      <c r="A34" s="44" t="n"/>
      <c r="B34" s="185" t="n"/>
      <c r="C34" s="185" t="n"/>
      <c r="D34" s="185" t="n"/>
      <c r="E34" s="185" t="n"/>
      <c r="F34" s="464" t="inlineStr">
        <is>
          <t>Indemnités d'entretien du dernier mois de travail (5)</t>
        </is>
      </c>
      <c r="G34" s="319" t="n"/>
      <c r="H34" s="465">
        <f>'Salaire du dernier mois '!G49</f>
        <v/>
      </c>
      <c r="K34" s="56" t="inlineStr">
        <is>
          <t>D</t>
        </is>
      </c>
      <c r="L34" s="44" t="n"/>
      <c r="N34" s="400" t="inlineStr">
        <is>
          <t>Elle n'est donc pas soumise à charges sociales</t>
        </is>
      </c>
      <c r="P34" s="168" t="inlineStr">
        <is>
          <t>indemnité</t>
        </is>
      </c>
      <c r="Q34" s="181" t="n"/>
    </row>
    <row r="35" ht="15.25" customHeight="1" s="367">
      <c r="A35" s="44" t="n"/>
      <c r="B35" s="185" t="n"/>
      <c r="C35" s="185" t="n"/>
      <c r="D35" s="185" t="n"/>
      <c r="E35" s="185" t="n"/>
      <c r="F35" s="464" t="inlineStr">
        <is>
          <t>Indemnités de repas du dernier mois de travail (5)</t>
        </is>
      </c>
      <c r="G35" s="319" t="n"/>
      <c r="H35" s="465">
        <f>'Salaire du dernier mois '!G50</f>
        <v/>
      </c>
      <c r="K35" s="56" t="inlineStr">
        <is>
          <t>E</t>
        </is>
      </c>
      <c r="L35" s="44" t="n"/>
      <c r="N35" s="441">
        <f>IF(OR(motif=5,motif=3),"",IF(H32=0,IF(AND(Q5&lt;&gt;4,Q5&lt;&gt;1),"(10) Aucune indemnité de fin de contrat n'est due car l'assistante maternelle n'a pas un an d'ancienneté","(10) Aucune indemnité de fin de contrat n'est due en cas de faute grave ou de démission ou de fin de CDD"),""))</f>
        <v/>
      </c>
      <c r="P35" s="170" t="n"/>
      <c r="Q35" s="171" t="n"/>
    </row>
    <row r="36" ht="15.25" customHeight="1" s="367">
      <c r="A36" s="44" t="n"/>
      <c r="B36" s="185" t="n"/>
      <c r="C36" s="464">
        <f>IF(Q44&gt;0,"Exonération de charges sur les hcomp. Et hsup.","")</f>
        <v/>
      </c>
      <c r="G36" s="317" t="n"/>
      <c r="H36" s="456">
        <f>Q44</f>
        <v/>
      </c>
      <c r="K36" s="56">
        <f>IF(Q44&gt;0,"F","")</f>
        <v/>
      </c>
      <c r="L36" s="44" t="n"/>
      <c r="O36" s="174" t="n"/>
      <c r="P36" s="170" t="inlineStr">
        <is>
          <t>ancienneté O/N</t>
        </is>
      </c>
      <c r="Q36" s="171">
        <f>IF(H12&lt;9,0,1)</f>
        <v/>
      </c>
    </row>
    <row r="37" ht="15.25" customHeight="1" s="367">
      <c r="A37" s="44" t="n"/>
      <c r="B37" s="185" t="n"/>
      <c r="C37" s="197" t="n"/>
      <c r="D37" s="185" t="n"/>
      <c r="E37" s="185" t="n"/>
      <c r="F37" s="185" t="n"/>
      <c r="G37" s="319" t="n"/>
      <c r="H37" s="263" t="n"/>
      <c r="I37" s="263" t="n"/>
      <c r="J37" s="263" t="n"/>
      <c r="K37" s="186" t="n"/>
      <c r="L37" s="44" t="n"/>
      <c r="P37" s="170" t="n"/>
      <c r="Q37" s="171">
        <f>IF(Q5=5,0,IF(Q5=2,1, 0))</f>
        <v/>
      </c>
    </row>
    <row r="38" ht="15.25" customHeight="1" s="367" thickBot="1">
      <c r="A38" s="44" t="n"/>
      <c r="B38" s="185" t="n"/>
      <c r="C38" s="459">
        <f>IF(Q44&gt;0,"Total solde de tout compte (A + B + C + D + E + F)","Total solde de tout compte (A + B + C + D + E )")</f>
        <v/>
      </c>
      <c r="G38" s="320" t="n"/>
      <c r="H38" s="457">
        <f>J29+H32+H31+H34+H35+H36</f>
        <v/>
      </c>
      <c r="K38" s="186" t="n"/>
      <c r="L38" s="44" t="n"/>
      <c r="P38" s="46" t="inlineStr">
        <is>
          <t>OK indemnité :</t>
        </is>
      </c>
      <c r="Q38" s="177">
        <f>IF(Q4=2,0,Q36*Q37)</f>
        <v/>
      </c>
    </row>
    <row r="39" ht="15.25" customHeight="1" s="367" thickBot="1">
      <c r="A39" s="44" t="n"/>
      <c r="B39" s="460" t="n"/>
      <c r="C39" s="460" t="inlineStr">
        <is>
          <t>Taux de prélèvement à la source de votre salariée</t>
        </is>
      </c>
      <c r="G39" s="320" t="n"/>
      <c r="H39" s="461" t="n">
        <v>0</v>
      </c>
      <c r="I39" s="439" t="n"/>
      <c r="J39" s="427" t="n"/>
      <c r="K39" s="186" t="n"/>
      <c r="L39" s="44" t="n"/>
      <c r="N39" s="262" t="n"/>
      <c r="P39" s="213" t="inlineStr">
        <is>
          <t>Montant indemnité</t>
        </is>
      </c>
      <c r="Q39" s="359">
        <f>IF(Q38=1,(I18+H29)/80,0)</f>
        <v/>
      </c>
    </row>
    <row r="40" ht="15.25" customHeight="1" s="367" thickBot="1">
      <c r="A40" s="44" t="n"/>
      <c r="B40" s="460">
        <f>CONCATENATE("Prélévement de l'impôt à la source appliqué pour le taux PAS de : ",TEXT(H39,"0,0%"))</f>
        <v/>
      </c>
      <c r="G40" s="320" t="n"/>
      <c r="H40" s="454">
        <f>Q46*H39</f>
        <v/>
      </c>
      <c r="I40" s="455" t="n"/>
      <c r="J40" s="455" t="n"/>
      <c r="K40" s="186" t="n"/>
      <c r="L40" s="44" t="n"/>
    </row>
    <row r="41" ht="15.25" customHeight="1" s="367">
      <c r="A41" s="44" t="n"/>
      <c r="B41" s="185" t="n"/>
      <c r="C41" s="198" t="n"/>
      <c r="D41" s="199" t="n"/>
      <c r="E41" s="199" t="n"/>
      <c r="F41" s="200" t="n"/>
      <c r="G41" s="320" t="n"/>
      <c r="H41" s="457" t="n"/>
      <c r="I41" s="457" t="n"/>
      <c r="J41" s="457" t="n"/>
      <c r="K41" s="186" t="n"/>
      <c r="L41" s="44" t="n"/>
      <c r="P41" s="168" t="inlineStr">
        <is>
          <t>% exo hsup</t>
        </is>
      </c>
      <c r="Q41" s="201" t="n">
        <v>0.1131</v>
      </c>
    </row>
    <row r="42" ht="15.25" customHeight="1" s="367">
      <c r="A42" s="44" t="n"/>
      <c r="B42" s="185" t="n"/>
      <c r="C42" s="459" t="inlineStr">
        <is>
          <t xml:space="preserve">Total à verser à l'assistante maternelle </t>
        </is>
      </c>
      <c r="G42" s="320" t="n"/>
      <c r="H42" s="457">
        <f>H38-H40</f>
        <v/>
      </c>
      <c r="K42" s="186" t="n"/>
      <c r="L42" s="44" t="n"/>
      <c r="P42" s="170" t="n"/>
      <c r="Q42" s="171" t="n"/>
    </row>
    <row r="43" ht="15.25" customHeight="1" s="367">
      <c r="A43" s="44" t="n"/>
      <c r="B43" s="202" t="n"/>
      <c r="C43" s="203" t="n"/>
      <c r="D43" s="202" t="n"/>
      <c r="E43" s="202" t="n"/>
      <c r="F43" s="202" t="n"/>
      <c r="G43" s="203" t="n"/>
      <c r="H43" s="264" t="n"/>
      <c r="I43" s="264" t="n"/>
      <c r="J43" s="264" t="n"/>
      <c r="K43" s="204" t="n"/>
      <c r="L43" s="44" t="n"/>
      <c r="P43" s="170" t="inlineStr">
        <is>
          <t>Brut total</t>
        </is>
      </c>
      <c r="Q43" s="265">
        <f>H29</f>
        <v/>
      </c>
    </row>
    <row r="44" ht="15.25" customHeight="1" s="367" thickBot="1">
      <c r="A44" s="44" t="n"/>
      <c r="B44" s="202" t="n"/>
      <c r="C44" s="451" t="inlineStr">
        <is>
          <t>A déclarer
à Pajemploi</t>
        </is>
      </c>
      <c r="D44" s="449" t="inlineStr">
        <is>
          <t>Nombre d'heures normales</t>
        </is>
      </c>
      <c r="H44" s="446">
        <f>ROUND((H50-(H48*(1+'Données du contrat'!G28)+H49)*'Données du contrat'!G26)/'Données du contrat'!G26,0)</f>
        <v/>
      </c>
      <c r="K44" s="204" t="n"/>
      <c r="L44" s="44" t="n"/>
      <c r="P44" s="46" t="inlineStr">
        <is>
          <t>exo hsup</t>
        </is>
      </c>
      <c r="Q44" s="360">
        <f>IF(H48+H49=0,0,(Q43-H24-H25-H26-H44*'Données du contrat'!F26)*Q41)</f>
        <v/>
      </c>
    </row>
    <row r="45" ht="15.25" customHeight="1" s="367" thickBot="1">
      <c r="A45" s="44" t="n"/>
      <c r="B45" s="202" t="n"/>
      <c r="D45" s="449" t="inlineStr">
        <is>
          <t>Nombre de jours d'activité</t>
        </is>
      </c>
      <c r="H45" s="446">
        <f>Q28</f>
        <v/>
      </c>
      <c r="K45" s="204" t="n"/>
      <c r="L45" s="44" t="n"/>
    </row>
    <row r="46" ht="15.25" customHeight="1" s="367">
      <c r="A46" s="44" t="n"/>
      <c r="B46" s="202" t="n"/>
      <c r="D46" s="449" t="inlineStr">
        <is>
          <t>Nombre de jours de congés payés</t>
        </is>
      </c>
      <c r="H46" s="463">
        <f>MAX(0,IF('Congés payés'!P2&lt;&gt;5,'Congés payés'!G33+'Congés payés'!N35,ROUNDUP((J25+J26)/'Données du contrat'!G26/('Congés payés'!G32/6),0)))</f>
        <v/>
      </c>
      <c r="K46" s="204" t="n"/>
      <c r="L46" s="44" t="n"/>
      <c r="P46" s="168" t="inlineStr">
        <is>
          <t>Net imposable</t>
        </is>
      </c>
      <c r="Q46" s="266">
        <f>IF(H48+H49&gt;0,H44*H47+Q43*Q47*Q48+H55+H56+H51+H53,H50+Q43*Q47*Q48+H55+H56+H51+H53)</f>
        <v/>
      </c>
    </row>
    <row r="47" ht="15.25" customHeight="1" s="367">
      <c r="A47" s="44" t="n"/>
      <c r="B47" s="202" t="n"/>
      <c r="C47" s="203" t="n"/>
      <c r="D47" s="449" t="inlineStr">
        <is>
          <t>Salaire horaire net d'une heure normale</t>
        </is>
      </c>
      <c r="H47" s="447">
        <f>'Données du contrat'!G26</f>
        <v/>
      </c>
      <c r="K47" s="204" t="n"/>
      <c r="L47" s="44" t="n"/>
      <c r="P47" s="170" t="inlineStr">
        <is>
          <t>taux cotis CSG crds imposable</t>
        </is>
      </c>
      <c r="Q47" s="205" t="n">
        <v>0.029</v>
      </c>
    </row>
    <row r="48" ht="15.25" customHeight="1" s="367" thickBot="1">
      <c r="A48" s="44" t="n"/>
      <c r="B48" s="202" t="n"/>
      <c r="C48" s="203" t="n"/>
      <c r="D48" s="449" t="inlineStr">
        <is>
          <t>Nombre d'heures majorées</t>
        </is>
      </c>
      <c r="H48" s="446">
        <f>IF(Q31=0,'Salaire du dernier mois '!O49,0)</f>
        <v/>
      </c>
      <c r="K48" s="204" t="n"/>
      <c r="L48" s="44" t="n"/>
      <c r="P48" s="46" t="n"/>
      <c r="Q48" s="206" t="n">
        <v>0.9825</v>
      </c>
    </row>
    <row r="49">
      <c r="A49" s="44" t="n"/>
      <c r="B49" s="202" t="n"/>
      <c r="C49" s="203" t="n"/>
      <c r="D49" s="449" t="inlineStr">
        <is>
          <t>Nombre d'heures complémentaires</t>
        </is>
      </c>
      <c r="H49" s="446">
        <f>IF(Q31=0,'Salaire du dernier mois '!O48,0)</f>
        <v/>
      </c>
      <c r="K49" s="204" t="n"/>
      <c r="L49" s="44" t="n"/>
      <c r="P49" s="262" t="n"/>
    </row>
    <row r="50">
      <c r="A50" s="44" t="n"/>
      <c r="B50" s="202" t="n"/>
      <c r="C50" s="203" t="n"/>
      <c r="D50" s="207" t="n"/>
      <c r="E50" s="449" t="inlineStr">
        <is>
          <t>Salaire net total</t>
        </is>
      </c>
      <c r="H50" s="447">
        <f>J22+J23</f>
        <v/>
      </c>
      <c r="K50" s="204" t="n"/>
      <c r="L50" s="44" t="n"/>
      <c r="P50" s="262" t="n"/>
    </row>
    <row r="51">
      <c r="A51" s="44" t="n"/>
      <c r="B51" s="202" t="n"/>
      <c r="C51" s="203" t="n"/>
      <c r="D51" s="207" t="n"/>
      <c r="E51" s="449" t="inlineStr">
        <is>
          <t>Indemnités d'entretien</t>
        </is>
      </c>
      <c r="H51" s="447">
        <f>H34</f>
        <v/>
      </c>
      <c r="K51" s="204" t="n"/>
      <c r="L51" s="44" t="n"/>
    </row>
    <row r="52">
      <c r="A52" s="44" t="n"/>
      <c r="B52" s="202" t="n"/>
      <c r="C52" s="203" t="n"/>
      <c r="D52" s="458" t="inlineStr">
        <is>
          <t>Indemnités complémentaires</t>
        </is>
      </c>
      <c r="H52" s="447" t="n"/>
      <c r="I52" s="447" t="n"/>
      <c r="J52" s="447" t="n"/>
      <c r="K52" s="204" t="n"/>
      <c r="L52" s="44" t="n"/>
    </row>
    <row r="53">
      <c r="A53" s="44" t="n"/>
      <c r="B53" s="202" t="n"/>
      <c r="C53" s="203" t="n"/>
      <c r="D53" s="208" t="n"/>
      <c r="E53" s="208" t="n"/>
      <c r="F53" s="208" t="n"/>
      <c r="G53" s="462" t="inlineStr">
        <is>
          <t>Indemnités de repas</t>
        </is>
      </c>
      <c r="H53" s="447">
        <f>H35</f>
        <v/>
      </c>
      <c r="K53" s="204" t="n"/>
      <c r="L53" s="44" t="n"/>
    </row>
    <row r="54">
      <c r="A54" s="44" t="n"/>
      <c r="B54" s="202" t="n"/>
      <c r="C54" s="203" t="n"/>
      <c r="D54" s="458" t="inlineStr">
        <is>
          <t>Indemnités de fin de contrat</t>
        </is>
      </c>
      <c r="H54" s="208" t="n"/>
      <c r="I54" s="208" t="n"/>
      <c r="J54" s="208" t="n"/>
      <c r="K54" s="204" t="n"/>
      <c r="L54" s="44" t="n"/>
    </row>
    <row r="55">
      <c r="A55" s="44" t="n"/>
      <c r="B55" s="202" t="n"/>
      <c r="C55" s="462" t="inlineStr">
        <is>
          <t>Montant de l'indemnité compensatrice de congés payés</t>
        </is>
      </c>
      <c r="H55" s="447">
        <f>J25+J26</f>
        <v/>
      </c>
      <c r="K55" s="204" t="n"/>
      <c r="L55" s="44" t="n"/>
    </row>
    <row r="56">
      <c r="A56" s="44" t="n"/>
      <c r="B56" s="202" t="n"/>
      <c r="C56" s="462" t="inlineStr">
        <is>
          <t>Montant de l'éventuelle indemnité compensatrice de préavis</t>
        </is>
      </c>
      <c r="H56" s="447">
        <f>J24</f>
        <v/>
      </c>
      <c r="K56" s="204" t="n"/>
      <c r="L56" s="44" t="n"/>
    </row>
    <row r="57">
      <c r="A57" s="44" t="n"/>
      <c r="B57" s="202" t="n"/>
      <c r="C57" s="462" t="inlineStr">
        <is>
          <t>Montant de l'indemnité de rupture</t>
        </is>
      </c>
      <c r="H57" s="447">
        <f>H31+H32</f>
        <v/>
      </c>
      <c r="K57" s="204" t="n"/>
      <c r="L57" s="44" t="n"/>
    </row>
    <row r="58">
      <c r="A58" s="44" t="n"/>
      <c r="B58" s="202" t="n"/>
      <c r="C58" s="203" t="n"/>
      <c r="D58" s="208" t="n"/>
      <c r="E58" s="462" t="n"/>
      <c r="F58" s="462" t="n"/>
      <c r="G58" s="462" t="n"/>
      <c r="H58" s="447" t="n"/>
      <c r="I58" s="447" t="n"/>
      <c r="J58" s="447" t="n"/>
      <c r="K58" s="204" t="n"/>
      <c r="L58" s="44" t="n"/>
    </row>
    <row r="59">
      <c r="A59" s="44" t="n"/>
      <c r="B59" s="444">
        <f>CONCATENATE("Copyright www.zen-avec-mon-assmat.com                                   Conforme à la législation en vigueur au ",date_maj)</f>
        <v/>
      </c>
      <c r="L59" s="44" t="n"/>
    </row>
    <row r="60">
      <c r="A60" s="44" t="n"/>
      <c r="B60" s="44" t="n"/>
      <c r="C60" s="44" t="n"/>
      <c r="D60" s="44" t="n"/>
      <c r="E60" s="44" t="n"/>
      <c r="F60" s="44" t="n"/>
      <c r="G60" s="44" t="n"/>
      <c r="H60" s="44" t="n"/>
      <c r="I60" s="44" t="n"/>
      <c r="J60" s="44" t="n"/>
      <c r="K60" s="162" t="n"/>
      <c r="L60" s="44" t="n"/>
    </row>
    <row r="62">
      <c r="D62" s="209" t="n"/>
      <c r="E62" s="209" t="n"/>
      <c r="F62" s="209" t="n"/>
      <c r="G62" s="209" t="n"/>
    </row>
    <row r="63">
      <c r="D63" s="209" t="n"/>
      <c r="E63" s="209" t="n"/>
      <c r="F63" s="209" t="n"/>
      <c r="G63" s="209" t="n"/>
    </row>
    <row r="64">
      <c r="D64" s="209" t="n"/>
      <c r="E64" s="209" t="n"/>
      <c r="F64" s="209" t="n"/>
      <c r="G64" s="209" t="n"/>
    </row>
    <row r="65">
      <c r="D65" s="209" t="n"/>
      <c r="E65" s="209" t="n"/>
      <c r="F65" s="209" t="n"/>
      <c r="G65" s="209" t="n"/>
      <c r="I65" s="262" t="n"/>
    </row>
    <row r="66">
      <c r="D66" s="209" t="n"/>
      <c r="E66" s="209" t="n"/>
      <c r="F66" s="209" t="n"/>
      <c r="G66" s="209" t="n"/>
    </row>
    <row r="67">
      <c r="D67" s="209" t="n"/>
      <c r="E67" s="209" t="n"/>
      <c r="F67" s="209" t="n"/>
      <c r="G67" s="209" t="n"/>
    </row>
    <row r="68">
      <c r="D68" s="209" t="n"/>
      <c r="E68" s="209" t="n"/>
      <c r="F68" s="209" t="n"/>
      <c r="G68" s="209" t="n"/>
      <c r="I68" s="262" t="n"/>
    </row>
    <row r="70">
      <c r="I70" s="262" t="n"/>
      <c r="J70" s="262" t="n"/>
    </row>
    <row r="71">
      <c r="I71" s="262" t="n"/>
    </row>
    <row r="73">
      <c r="I73" s="262" t="n"/>
    </row>
  </sheetData>
  <sheetProtection selectLockedCells="1" selectUnlockedCells="0" algorithmName="SHA-512" sheet="1" objects="1" insertRows="1" insertHyperlinks="1" autoFilter="1" scenarios="1" formatColumns="1" deleteColumns="1" insertColumns="1" pivotTables="1" deleteRows="1" formatCells="1" saltValue="2mzyxlBfu4SjD+nYq5qclg==" formatRows="1" sort="1" spinCount="100000" password="DDB9" hashValue="PG/Re6/sEylB2CSLgPBaoTKHpp9ugUY7M8zPTJDJMDlYmh/QWwyjYNvo6ypdy4FaQtVXPTmVGm+pgM81sKeDVw=="/>
  <mergeCells count="62">
    <mergeCell ref="H49:J49"/>
    <mergeCell ref="H46:J46"/>
    <mergeCell ref="H51:J51"/>
    <mergeCell ref="C39:F39"/>
    <mergeCell ref="H36:J36"/>
    <mergeCell ref="N7:N8"/>
    <mergeCell ref="C38:F38"/>
    <mergeCell ref="C32:F32"/>
    <mergeCell ref="N2:N3"/>
    <mergeCell ref="H45:J45"/>
    <mergeCell ref="F2:K4"/>
    <mergeCell ref="D54:G54"/>
    <mergeCell ref="N5:N6"/>
    <mergeCell ref="H32:J32"/>
    <mergeCell ref="C7:D8"/>
    <mergeCell ref="H13:J13"/>
    <mergeCell ref="D44:G44"/>
    <mergeCell ref="E10:I10"/>
    <mergeCell ref="H57:J57"/>
    <mergeCell ref="H47:J47"/>
    <mergeCell ref="C55:G55"/>
    <mergeCell ref="N29:N30"/>
    <mergeCell ref="C42:F42"/>
    <mergeCell ref="H48:J48"/>
    <mergeCell ref="I18:J18"/>
    <mergeCell ref="B59:K59"/>
    <mergeCell ref="D46:G46"/>
    <mergeCell ref="C56:G56"/>
    <mergeCell ref="E9:I9"/>
    <mergeCell ref="C36:F36"/>
    <mergeCell ref="H42:J42"/>
    <mergeCell ref="F5:K6"/>
    <mergeCell ref="D45:G45"/>
    <mergeCell ref="D29:F29"/>
    <mergeCell ref="H14:J14"/>
    <mergeCell ref="D52:G52"/>
    <mergeCell ref="E50:G50"/>
    <mergeCell ref="B28:C30"/>
    <mergeCell ref="H35:J35"/>
    <mergeCell ref="D49:G49"/>
    <mergeCell ref="H53:J53"/>
    <mergeCell ref="B40:F40"/>
    <mergeCell ref="N11:N12"/>
    <mergeCell ref="H38:J38"/>
    <mergeCell ref="C44:C46"/>
    <mergeCell ref="H12:I12"/>
    <mergeCell ref="D48:G48"/>
    <mergeCell ref="H50:J50"/>
    <mergeCell ref="H44:J44"/>
    <mergeCell ref="D47:G47"/>
    <mergeCell ref="H55:J55"/>
    <mergeCell ref="H31:J31"/>
    <mergeCell ref="C57:G57"/>
    <mergeCell ref="C17:H18"/>
    <mergeCell ref="H34:J34"/>
    <mergeCell ref="H40:J40"/>
    <mergeCell ref="G15:J15"/>
    <mergeCell ref="H56:J56"/>
    <mergeCell ref="H39:J39"/>
    <mergeCell ref="E51:G51"/>
    <mergeCell ref="N17:N19"/>
    <mergeCell ref="N35:N36"/>
  </mergeCells>
  <dataValidations count="2">
    <dataValidation sqref="E9" showDropDown="0" showInputMessage="1" showErrorMessage="1" allowBlank="1" type="list">
      <formula1>l_cause</formula1>
      <formula2>0</formula2>
    </dataValidation>
    <dataValidation sqref="E10" showDropDown="0" showInputMessage="1" showErrorMessage="1" allowBlank="1" type="list">
      <formula1>l_preavis</formula1>
      <formula2>0</formula2>
    </dataValidation>
  </dataValidations>
  <pageMargins left="0.7" right="0.7" top="0.75" bottom="0.75" header="0.511805555555555" footer="0.511805555555555"/>
  <pageSetup orientation="portrait" paperSize="9" firstPageNumber="0" horizontalDpi="4294967293" verticalDpi="4294967293"/>
  <drawing xmlns:r="http://schemas.openxmlformats.org/officeDocument/2006/relationships" r:id="rId1"/>
</worksheet>
</file>

<file path=xl/worksheets/sheet7.xml><?xml version="1.0" encoding="utf-8"?>
<worksheet xmlns="http://schemas.openxmlformats.org/spreadsheetml/2006/main">
  <sheetPr>
    <outlinePr summaryBelow="1" summaryRight="1"/>
    <pageSetUpPr/>
  </sheetPr>
  <dimension ref="A1:P31"/>
  <sheetViews>
    <sheetView showGridLines="0" showRowColHeaders="0" zoomScaleNormal="100" workbookViewId="0">
      <selection activeCell="A1" sqref="A1"/>
    </sheetView>
  </sheetViews>
  <sheetFormatPr baseColWidth="10" defaultColWidth="9.1640625" defaultRowHeight="15"/>
  <cols>
    <col width="2.5" customWidth="1" style="367" min="1" max="1"/>
    <col width="4.6640625" customWidth="1" style="367" min="2" max="2"/>
    <col width="17.5" customWidth="1" style="367" min="3" max="3"/>
    <col width="14.5" customWidth="1" style="367" min="4" max="4"/>
    <col width="10.5" customWidth="1" style="367" min="5" max="5"/>
    <col width="4.5" customWidth="1" style="367" min="6" max="6"/>
    <col width="10.5" customWidth="1" style="367" min="7" max="7"/>
    <col width="5" customWidth="1" style="367" min="8" max="8"/>
    <col width="13.5" customWidth="1" style="367" min="9" max="9"/>
    <col width="4.5" customWidth="1" style="367" min="10" max="10"/>
    <col width="11.83203125" customWidth="1" style="367" min="11" max="11"/>
    <col width="5.5" customWidth="1" style="367" min="12" max="12"/>
    <col width="4.6640625" customWidth="1" style="367" min="13" max="13"/>
    <col width="2.5" customWidth="1" style="367" min="14" max="14"/>
    <col width="1.83203125" customWidth="1" style="367" min="15" max="15"/>
    <col width="67.5" customWidth="1" style="367" min="16" max="16"/>
    <col width="12.5" customWidth="1" style="367" min="17" max="17"/>
    <col width="20.5" customWidth="1" style="367" min="18" max="20"/>
    <col width="11.33203125" customWidth="1" style="367" min="21" max="1025"/>
  </cols>
  <sheetData>
    <row r="1" ht="15.25" customHeight="1" s="367">
      <c r="A1" s="1" t="n"/>
      <c r="B1" s="1" t="n"/>
      <c r="C1" s="1" t="n"/>
      <c r="D1" s="1" t="n"/>
      <c r="E1" s="1" t="n"/>
      <c r="F1" s="1" t="n"/>
      <c r="G1" s="1" t="n"/>
      <c r="H1" s="1" t="n"/>
      <c r="I1" s="1" t="n"/>
      <c r="J1" s="1" t="n"/>
      <c r="K1" s="1" t="n"/>
      <c r="L1" s="1" t="n"/>
      <c r="M1" s="1" t="n"/>
      <c r="N1" s="1" t="n"/>
    </row>
    <row r="2" ht="15.25" customHeight="1" s="367">
      <c r="A2" s="1" t="n"/>
      <c r="N2" s="1" t="n"/>
      <c r="P2" s="383" t="inlineStr">
        <is>
          <t>Mode d'emploi</t>
        </is>
      </c>
    </row>
    <row r="3" ht="15.25" customHeight="1" s="367">
      <c r="A3" s="1" t="n"/>
      <c r="F3" s="474" t="inlineStr">
        <is>
          <t>Attestation France Travail
Encadré 7</t>
        </is>
      </c>
      <c r="M3" s="90" t="n"/>
      <c r="N3" s="1" t="n"/>
      <c r="P3" s="384" t="n"/>
    </row>
    <row r="4" ht="15.25" customHeight="1" s="367">
      <c r="A4" s="1" t="n"/>
      <c r="M4" s="90" t="n"/>
      <c r="N4" s="1" t="n"/>
      <c r="P4" s="385" t="inlineStr">
        <is>
          <t>Cet onglet a pour objectif de vous faciliter le remplissage de l'attestation France Travail, document à remettre obligatoirement en fin de contrat à l'assistante maternelle.</t>
        </is>
      </c>
    </row>
    <row r="5" ht="15.25" customHeight="1" s="367">
      <c r="A5" s="1" t="n"/>
      <c r="M5" s="90" t="n"/>
      <c r="N5" s="1" t="n"/>
      <c r="P5" s="384" t="n"/>
    </row>
    <row r="6" ht="15.25" customHeight="1" s="367">
      <c r="A6" s="1" t="n"/>
      <c r="N6" s="1" t="n"/>
      <c r="P6" s="384" t="n"/>
    </row>
    <row r="7" ht="15.25" customHeight="1" s="367">
      <c r="A7" s="1" t="n"/>
      <c r="B7" s="117" t="n"/>
      <c r="C7" s="117" t="n"/>
      <c r="D7" s="117" t="n"/>
      <c r="E7" s="117" t="n"/>
      <c r="F7" s="117" t="n"/>
      <c r="G7" s="117" t="n"/>
      <c r="H7" s="117" t="n"/>
      <c r="I7" s="117" t="n"/>
      <c r="J7" s="117" t="n"/>
      <c r="K7" s="117" t="n"/>
      <c r="L7" s="117" t="n"/>
      <c r="M7" s="117" t="n"/>
      <c r="N7" s="1" t="n"/>
      <c r="P7" s="475" t="inlineStr">
        <is>
          <t>Pour obtenir une attestation France Travail vierge, créer un "espace employeur" sur la page https://entreprise.francetravail.fr/accueil/particulieremployeur puis dans cet espace employeur vous trouverez des attestations pré-remplies avec vos coordonnées).</t>
        </is>
      </c>
    </row>
    <row r="8" ht="15.25" customHeight="1" s="367">
      <c r="A8" s="1" t="n"/>
      <c r="B8" s="117" t="n"/>
      <c r="C8" s="117" t="n"/>
      <c r="D8" s="117" t="n"/>
      <c r="E8" s="117" t="n"/>
      <c r="F8" s="117" t="n"/>
      <c r="G8" s="117" t="n"/>
      <c r="H8" s="117" t="n"/>
      <c r="I8" s="117" t="n"/>
      <c r="J8" s="117" t="n"/>
      <c r="K8" s="117" t="n"/>
      <c r="L8" s="117" t="n"/>
      <c r="M8" s="117" t="n"/>
      <c r="N8" s="1" t="n"/>
      <c r="P8" s="384" t="n"/>
    </row>
    <row r="9" ht="15.25" customHeight="1" s="367">
      <c r="A9" s="1" t="n"/>
      <c r="B9" s="117" t="n"/>
      <c r="C9" s="117" t="n"/>
      <c r="D9" s="117" t="n"/>
      <c r="E9" s="117" t="n"/>
      <c r="F9" s="117" t="n"/>
      <c r="G9" s="117" t="n"/>
      <c r="H9" s="117" t="n"/>
      <c r="I9" s="117" t="n"/>
      <c r="J9" s="117" t="n"/>
      <c r="K9" s="117" t="n"/>
      <c r="L9" s="117" t="n"/>
      <c r="M9" s="117" t="n"/>
      <c r="N9" s="1" t="n"/>
      <c r="P9" s="384" t="n"/>
    </row>
    <row r="10" ht="15.25" customHeight="1" s="367">
      <c r="A10" s="1" t="n"/>
      <c r="B10" s="117" t="n"/>
      <c r="C10" s="117" t="n"/>
      <c r="D10" s="117" t="n"/>
      <c r="E10" s="117" t="n"/>
      <c r="F10" s="117" t="n"/>
      <c r="G10" s="117" t="n"/>
      <c r="H10" s="117" t="n"/>
      <c r="I10" s="117" t="n"/>
      <c r="J10" s="117" t="n"/>
      <c r="K10" s="117" t="n"/>
      <c r="L10" s="117" t="n"/>
      <c r="M10" s="117" t="n"/>
      <c r="N10" s="1" t="n"/>
      <c r="P10" s="384" t="n"/>
    </row>
    <row r="11" ht="15.25" customHeight="1" s="367">
      <c r="A11" s="1" t="n"/>
      <c r="B11" s="117" t="n"/>
      <c r="C11" s="117" t="n"/>
      <c r="D11" s="117" t="n"/>
      <c r="E11" s="117" t="n"/>
      <c r="F11" s="117" t="n"/>
      <c r="G11" s="117" t="n"/>
      <c r="H11" s="117" t="n"/>
      <c r="I11" s="117" t="n"/>
      <c r="J11" s="117" t="n"/>
      <c r="K11" s="117" t="n"/>
      <c r="L11" s="117" t="n"/>
      <c r="M11" s="117" t="n"/>
      <c r="N11" s="1" t="n"/>
      <c r="P11" s="475" t="n"/>
    </row>
    <row r="12" ht="15.25" customHeight="1" s="367">
      <c r="A12" s="1" t="n"/>
      <c r="B12" s="117" t="n"/>
      <c r="C12" s="117" t="n"/>
      <c r="D12" s="117" t="n"/>
      <c r="E12" s="117" t="n"/>
      <c r="F12" s="117" t="n"/>
      <c r="G12" s="117" t="n"/>
      <c r="H12" s="117" t="n"/>
      <c r="I12" s="117" t="n"/>
      <c r="J12" s="117" t="n"/>
      <c r="K12" s="117" t="n"/>
      <c r="L12" s="117" t="n"/>
      <c r="M12" s="117" t="n"/>
      <c r="N12" s="1" t="n"/>
      <c r="P12" s="476" t="inlineStr">
        <is>
          <t>Information importante: ces montants ne sont détaillés ici qu'à titre indicatif, il convient de les vérifier avant de remplir l'attestation France Travail.</t>
        </is>
      </c>
    </row>
    <row r="13" ht="15.25" customHeight="1" s="367">
      <c r="A13" s="1" t="n"/>
      <c r="B13" s="117" t="n"/>
      <c r="C13" s="117" t="n"/>
      <c r="D13" s="117" t="n"/>
      <c r="E13" s="117" t="n"/>
      <c r="F13" s="117" t="n"/>
      <c r="G13" s="117" t="n"/>
      <c r="H13" s="117" t="n"/>
      <c r="I13" s="117" t="n"/>
      <c r="J13" s="117" t="n"/>
      <c r="K13" s="117" t="n"/>
      <c r="L13" s="117" t="n"/>
      <c r="M13" s="117" t="n"/>
      <c r="N13" s="1" t="n"/>
      <c r="P13" s="384" t="n"/>
    </row>
    <row r="14" ht="15.25" customHeight="1" s="367">
      <c r="A14" s="1" t="n"/>
      <c r="B14" s="117" t="n"/>
      <c r="C14" s="117" t="n"/>
      <c r="D14" s="117" t="n"/>
      <c r="E14" s="117" t="n"/>
      <c r="F14" s="117" t="n"/>
      <c r="G14" s="117" t="n"/>
      <c r="H14" s="117" t="n"/>
      <c r="I14" s="117" t="n"/>
      <c r="J14" s="117" t="n"/>
      <c r="K14" s="117" t="n"/>
      <c r="L14" s="117" t="n"/>
      <c r="M14" s="117" t="n"/>
      <c r="N14" s="1" t="n"/>
      <c r="P14" s="405" t="n"/>
    </row>
    <row r="15" ht="15.25" customHeight="1" s="367">
      <c r="A15" s="1" t="n"/>
      <c r="B15" s="117" t="n"/>
      <c r="C15" s="117" t="n"/>
      <c r="D15" s="117" t="n"/>
      <c r="E15" s="117" t="n"/>
      <c r="F15" s="117" t="n"/>
      <c r="G15" s="117" t="n"/>
      <c r="H15" s="117" t="n"/>
      <c r="I15" s="117" t="n"/>
      <c r="J15" s="117" t="n"/>
      <c r="K15" s="117" t="n"/>
      <c r="L15" s="117" t="n"/>
      <c r="M15" s="117" t="n"/>
      <c r="N15" s="1" t="n"/>
      <c r="P15" s="32" t="n"/>
    </row>
    <row r="16" ht="15.25" customHeight="1" s="367">
      <c r="A16" s="1" t="n"/>
      <c r="B16" s="117" t="n"/>
      <c r="C16" s="117" t="n"/>
      <c r="D16" s="117" t="n"/>
      <c r="E16" s="117" t="n"/>
      <c r="F16" s="117" t="n"/>
      <c r="G16" s="117" t="n"/>
      <c r="H16" s="117" t="n"/>
      <c r="I16" s="117" t="n"/>
      <c r="J16" s="117" t="n"/>
      <c r="K16" s="117" t="n"/>
      <c r="L16" s="117" t="n"/>
      <c r="M16" s="117" t="n"/>
      <c r="N16" s="1" t="n"/>
    </row>
    <row r="17" ht="15.25" customHeight="1" s="367">
      <c r="A17" s="1" t="n"/>
      <c r="B17" s="216" t="n"/>
      <c r="C17" s="83" t="n"/>
      <c r="D17" s="83" t="n"/>
      <c r="E17" s="216" t="n"/>
      <c r="F17" s="216" t="n"/>
      <c r="G17" s="216" t="n"/>
      <c r="H17" s="216" t="n"/>
      <c r="I17" s="216" t="n"/>
      <c r="J17" s="7" t="n"/>
      <c r="K17" s="7" t="n"/>
      <c r="L17" s="216" t="n"/>
      <c r="M17" s="321" t="n"/>
      <c r="N17" s="1" t="n"/>
      <c r="P17" s="32" t="n"/>
    </row>
    <row r="18" ht="15.25" customHeight="1" s="367">
      <c r="A18" s="1" t="n"/>
      <c r="B18" s="216" t="n"/>
      <c r="C18" s="215" t="n"/>
      <c r="D18" s="215" t="n"/>
      <c r="E18" s="216" t="n"/>
      <c r="F18" s="216" t="n"/>
      <c r="G18" s="215" t="n"/>
      <c r="H18" s="216" t="n"/>
      <c r="I18" s="216" t="n"/>
      <c r="J18" s="7" t="n"/>
      <c r="K18" s="7" t="n"/>
      <c r="L18" s="216" t="n"/>
      <c r="M18" s="321" t="n"/>
      <c r="N18" s="1" t="n"/>
      <c r="P18" s="32" t="n"/>
    </row>
    <row r="19" ht="15.25" customHeight="1" s="367">
      <c r="A19" s="1" t="n"/>
      <c r="B19" s="216" t="n"/>
      <c r="C19" s="214" t="inlineStr">
        <is>
          <t>Indemnité compensatrice de congés payés : ….................................................................................</t>
        </is>
      </c>
      <c r="D19" s="214" t="n"/>
      <c r="E19" s="361" t="n"/>
      <c r="F19" s="214" t="n"/>
      <c r="G19" s="214" t="n"/>
      <c r="H19" s="216" t="n"/>
      <c r="I19" s="216" t="n"/>
      <c r="J19" s="7" t="n"/>
      <c r="K19" s="112">
        <f>'Solde de tout compte'!H25+'Solde de tout compte'!H26</f>
        <v/>
      </c>
      <c r="L19" s="92" t="inlineStr">
        <is>
          <t>EUR</t>
        </is>
      </c>
      <c r="M19" s="322" t="n"/>
      <c r="N19" s="1" t="n"/>
    </row>
    <row r="20" ht="15.25" customHeight="1" s="367">
      <c r="A20" s="1" t="n"/>
      <c r="B20" s="216" t="n"/>
      <c r="C20" s="214" t="n"/>
      <c r="D20" s="214" t="n"/>
      <c r="E20" s="323" t="n"/>
      <c r="F20" s="214" t="n"/>
      <c r="G20" s="214" t="n"/>
      <c r="H20" s="216" t="n"/>
      <c r="I20" s="216" t="n"/>
      <c r="J20" s="7" t="n"/>
      <c r="K20" s="324" t="n"/>
      <c r="L20" s="216" t="n"/>
      <c r="M20" s="321" t="n"/>
      <c r="N20" s="1" t="n"/>
    </row>
    <row r="21" ht="15.25" customHeight="1" s="367">
      <c r="A21" s="1" t="n"/>
      <c r="B21" s="216" t="n"/>
      <c r="C21" s="215" t="inlineStr">
        <is>
          <t>Total des autres indemnités liées à la rupture :……………………………………………………………………………..</t>
        </is>
      </c>
      <c r="D21" s="215" t="n"/>
      <c r="E21" s="216" t="n"/>
      <c r="F21" s="216" t="n"/>
      <c r="G21" s="216" t="n"/>
      <c r="H21" s="216" t="n"/>
      <c r="I21" s="216" t="n"/>
      <c r="J21" s="7" t="n"/>
      <c r="K21" s="111">
        <f>'Solde de tout compte'!H31+'Solde de tout compte'!H32+'Solde de tout compte'!H27</f>
        <v/>
      </c>
      <c r="L21" s="92" t="inlineStr">
        <is>
          <t>EUR</t>
        </is>
      </c>
      <c r="M21" s="322" t="n"/>
      <c r="N21" s="1" t="n"/>
    </row>
    <row r="22" ht="15.25" customHeight="1" s="367">
      <c r="A22" s="1" t="n"/>
      <c r="B22" s="216" t="n"/>
      <c r="C22" s="215" t="n"/>
      <c r="D22" s="215" t="n"/>
      <c r="E22" s="216" t="n"/>
      <c r="F22" s="216" t="n"/>
      <c r="G22" s="216" t="n"/>
      <c r="H22" s="216" t="n"/>
      <c r="I22" s="216" t="n"/>
      <c r="J22" s="7" t="n"/>
      <c r="K22" s="323" t="n"/>
      <c r="L22" s="214" t="n"/>
      <c r="M22" s="321" t="n"/>
      <c r="N22" s="1" t="n"/>
    </row>
    <row r="23" ht="15.25" customHeight="1" s="367">
      <c r="A23" s="1" t="n"/>
      <c r="B23" s="216" t="n"/>
      <c r="C23" s="214" t="inlineStr">
        <is>
          <t>dont montant correspondant aux indemnités légales de licenciement ou de rupture………………………………</t>
        </is>
      </c>
      <c r="D23" s="214" t="n"/>
      <c r="E23" s="216" t="n"/>
      <c r="F23" s="216" t="n"/>
      <c r="G23" s="216" t="n"/>
      <c r="H23" s="216" t="n"/>
      <c r="I23" s="216" t="n"/>
      <c r="J23" s="7" t="n"/>
      <c r="K23" s="113">
        <f>'Solde de tout compte'!H32+'Solde de tout compte'!H27</f>
        <v/>
      </c>
      <c r="L23" s="325" t="inlineStr">
        <is>
          <t>EUR</t>
        </is>
      </c>
      <c r="M23" s="326" t="n"/>
      <c r="N23" s="1" t="n"/>
    </row>
    <row r="24" ht="15.25" customHeight="1" s="367">
      <c r="A24" s="1" t="n"/>
      <c r="B24" s="216" t="n"/>
      <c r="C24" s="83" t="n"/>
      <c r="D24" s="83" t="n"/>
      <c r="E24" s="216" t="n"/>
      <c r="F24" s="216" t="n"/>
      <c r="G24" s="216" t="n"/>
      <c r="H24" s="216" t="n"/>
      <c r="I24" s="216" t="n"/>
      <c r="J24" s="7" t="n"/>
      <c r="K24" s="7" t="n"/>
      <c r="L24" s="326" t="n"/>
      <c r="M24" s="327" t="n"/>
      <c r="N24" s="1" t="n"/>
    </row>
    <row r="25" ht="15.25" customHeight="1" s="367">
      <c r="A25" s="1" t="n"/>
      <c r="B25" s="369">
        <f>CONCATENATE("Copyright @ zen-avec-mon-assmat.com                               Conforme à la législation en vigueur au ",date_maj)</f>
        <v/>
      </c>
      <c r="N25" s="1" t="n"/>
    </row>
    <row r="26" ht="15.25" customHeight="1" s="367">
      <c r="A26" s="1" t="n"/>
      <c r="B26" s="1" t="n"/>
      <c r="C26" s="1" t="n"/>
      <c r="D26" s="1" t="n"/>
      <c r="E26" s="1" t="n"/>
      <c r="F26" s="1" t="n"/>
      <c r="G26" s="1" t="n"/>
      <c r="H26" s="1" t="n"/>
      <c r="I26" s="1" t="n"/>
      <c r="J26" s="1" t="n"/>
      <c r="K26" s="1" t="n"/>
      <c r="L26" s="1" t="n"/>
      <c r="M26" s="1" t="n"/>
      <c r="N26" s="1" t="n"/>
      <c r="P26" s="93" t="n"/>
    </row>
    <row r="27" ht="15.25" customHeight="1" s="367">
      <c r="P27" s="33" t="n"/>
    </row>
    <row r="28" ht="15.25" customHeight="1" s="367">
      <c r="P28" s="33" t="n"/>
    </row>
    <row r="29" ht="15.25" customHeight="1" s="367"/>
    <row r="30" ht="15.25" customHeight="1" s="367">
      <c r="P30" s="376" t="n"/>
    </row>
    <row r="31" ht="15.25" customHeight="1" s="367"/>
  </sheetData>
  <sheetProtection selectLockedCells="1" selectUnlockedCells="0" algorithmName="SHA-512" sheet="1" objects="1" insertRows="1" insertHyperlinks="1" autoFilter="1" scenarios="1" formatColumns="1" deleteColumns="1" insertColumns="1" pivotTables="1" deleteRows="1" formatCells="1" saltValue="uMettEjUbCwu02rRn5r/hw==" formatRows="1" sort="1" spinCount="100000" hashValue="+BYRVux7L1MFfjRPoiCG7drv/DMabXH00WfKWQvcbbViSuRcmGaN68Nv8fYEY9oktAdFoN2CnBE3lW4f9tpRAw=="/>
  <mergeCells count="7">
    <mergeCell ref="P12:P14"/>
    <mergeCell ref="B25:M25"/>
    <mergeCell ref="P4:P6"/>
    <mergeCell ref="P30:P31"/>
    <mergeCell ref="P7:P10"/>
    <mergeCell ref="F3:L5"/>
    <mergeCell ref="P2:P3"/>
  </mergeCells>
  <hyperlinks>
    <hyperlink xmlns:r="http://schemas.openxmlformats.org/officeDocument/2006/relationships" ref="P7" display="Pour obtenir une attestation Pôle emploi vierge, créer un &quot;espace employeur&quot; sur la page https://entreprise.pole-emploi.fr/accueil/particulieremployeur puis dans cet espace employeur vous trouverez des attestations pré-remplies avec vos coordonnées)." r:id="rId1"/>
  </hyperlinks>
  <pageMargins left="0.7" right="0.7" top="0.75" bottom="0.75" header="0.511805555555555" footer="0.511805555555555"/>
  <pageSetup orientation="portrait" paperSize="9" firstPageNumber="0" horizontalDpi="4294967293" verticalDpi="4294967293"/>
  <drawing xmlns:r="http://schemas.openxmlformats.org/officeDocument/2006/relationships" r:id="rId2"/>
</worksheet>
</file>

<file path=xl/worksheets/sheet8.xml><?xml version="1.0" encoding="utf-8"?>
<worksheet xmlns="http://schemas.openxmlformats.org/spreadsheetml/2006/main">
  <sheetPr>
    <outlinePr summaryBelow="1" summaryRight="1"/>
    <pageSetUpPr/>
  </sheetPr>
  <dimension ref="A1:P27"/>
  <sheetViews>
    <sheetView showGridLines="0" showRowColHeaders="0" zoomScaleNormal="100" workbookViewId="0">
      <selection activeCell="F8" sqref="F8"/>
    </sheetView>
  </sheetViews>
  <sheetFormatPr baseColWidth="10" defaultColWidth="9.1640625" defaultRowHeight="15"/>
  <cols>
    <col width="2.5" customWidth="1" style="367" min="1" max="1"/>
    <col width="4.6640625" customWidth="1" style="367" min="2" max="2"/>
    <col width="11.33203125" customWidth="1" style="367" min="3" max="3"/>
    <col width="52.1640625" customWidth="1" style="367" min="4" max="4"/>
    <col width="2.6640625" customWidth="1" style="367" min="5" max="5"/>
    <col width="24.33203125" customWidth="1" style="367" min="6" max="6"/>
    <col width="11.33203125" customWidth="1" style="367" min="7" max="7"/>
    <col width="2.5" customWidth="1" style="367" min="8" max="8"/>
    <col width="3.33203125" customWidth="1" style="367" min="9" max="9"/>
    <col width="79.1640625" customWidth="1" style="367" min="10" max="10"/>
    <col hidden="1" width="9.1640625" customWidth="1" style="367" min="11" max="17"/>
    <col width="20.33203125" customWidth="1" style="367" min="18" max="18"/>
    <col width="11.33203125" customWidth="1" style="367" min="19" max="1025"/>
  </cols>
  <sheetData>
    <row r="1" ht="15.25" customHeight="1" s="367">
      <c r="A1" s="1" t="n"/>
      <c r="B1" s="1" t="n"/>
      <c r="C1" s="1" t="n"/>
      <c r="D1" s="1" t="n"/>
      <c r="E1" s="1" t="n"/>
      <c r="F1" s="1" t="n"/>
      <c r="G1" s="1" t="n"/>
      <c r="H1" s="1" t="n"/>
    </row>
    <row r="2" ht="15.25" customHeight="1" s="367">
      <c r="A2" s="1" t="n"/>
      <c r="G2" s="94" t="n"/>
      <c r="H2" s="1" t="n"/>
      <c r="K2" s="37" t="inlineStr">
        <is>
          <t>Dernier enfant né après le 1er avril 2014</t>
        </is>
      </c>
      <c r="L2" s="14" t="inlineStr">
        <is>
          <t>Oui</t>
        </is>
      </c>
      <c r="M2" s="14" t="n"/>
      <c r="N2" s="14" t="n"/>
      <c r="O2" s="14" t="n"/>
      <c r="P2" s="15" t="n"/>
    </row>
    <row r="3" ht="15.25" customHeight="1" s="367">
      <c r="A3" s="1" t="n"/>
      <c r="F3" s="474" t="inlineStr">
        <is>
          <t>Coût du
solde de tout compte</t>
        </is>
      </c>
      <c r="H3" s="1" t="n"/>
      <c r="K3" s="23" t="n"/>
      <c r="L3" s="73" t="inlineStr">
        <is>
          <t>Non</t>
        </is>
      </c>
      <c r="M3" s="73" t="n"/>
      <c r="N3" s="95">
        <f>IF(F9=L2,1,2)</f>
        <v/>
      </c>
      <c r="O3" s="73" t="n"/>
      <c r="P3" s="30" t="n"/>
    </row>
    <row r="4" ht="15.25" customHeight="1" s="367">
      <c r="A4" s="1" t="n"/>
      <c r="H4" s="1" t="n"/>
      <c r="K4" s="96" t="inlineStr">
        <is>
          <t>Parent élevant seul son enfant</t>
        </is>
      </c>
      <c r="L4" s="97" t="inlineStr">
        <is>
          <t>Non</t>
        </is>
      </c>
      <c r="M4" s="30">
        <f>IF(F10=L4,1,2)</f>
        <v/>
      </c>
    </row>
    <row r="5" ht="15.25" customHeight="1" s="367">
      <c r="A5" s="1" t="n"/>
      <c r="H5" s="1" t="n"/>
      <c r="K5" s="98" t="n"/>
      <c r="L5" t="inlineStr">
        <is>
          <t>Oui</t>
        </is>
      </c>
      <c r="M5" s="99">
        <f>IF(M4=1,1,1.4)</f>
        <v/>
      </c>
      <c r="N5">
        <f>IF(M4=1,1,1.3)</f>
        <v/>
      </c>
    </row>
    <row r="6" ht="15.25" customHeight="1" s="367">
      <c r="A6" s="1" t="n"/>
      <c r="F6" s="76" t="n"/>
      <c r="G6" s="76" t="n"/>
      <c r="H6" s="1" t="n"/>
      <c r="K6" s="100" t="inlineStr">
        <is>
          <t>Données Foyer</t>
        </is>
      </c>
      <c r="L6" s="14" t="n"/>
      <c r="M6" s="101" t="n"/>
      <c r="N6" s="101" t="n"/>
      <c r="O6" s="101" t="n"/>
      <c r="P6" s="15" t="n"/>
    </row>
    <row r="7" ht="15.25" customHeight="1" s="367">
      <c r="A7" s="1" t="n"/>
      <c r="B7" s="120" t="n"/>
      <c r="C7" s="120" t="n"/>
      <c r="D7" s="120" t="n"/>
      <c r="E7" s="120" t="n"/>
      <c r="F7" s="120" t="n"/>
      <c r="G7" s="120" t="n"/>
      <c r="H7" s="1" t="n"/>
      <c r="K7" s="17" t="inlineStr">
        <is>
          <t>Alsace ou Moselle</t>
        </is>
      </c>
      <c r="L7" t="n">
        <v>1</v>
      </c>
      <c r="M7" s="158" t="n">
        <v>23903</v>
      </c>
      <c r="N7" s="158" t="n"/>
      <c r="O7" s="158" t="n">
        <v>53119</v>
      </c>
      <c r="P7" s="18" t="n"/>
    </row>
    <row r="8" ht="15.25" customHeight="1" s="367">
      <c r="A8" s="1" t="n"/>
      <c r="B8" s="409" t="inlineStr">
        <is>
          <t>Age de l'enfant gardé le 1er du mois où est versé le solde de tout compte (1)</t>
        </is>
      </c>
      <c r="E8" s="409" t="n"/>
      <c r="F8" s="122" t="inlineStr">
        <is>
          <t xml:space="preserve">CMG moins de 3 ans </t>
        </is>
      </c>
      <c r="G8" s="117" t="n"/>
      <c r="H8" s="1" t="n"/>
      <c r="J8" t="inlineStr">
        <is>
          <t>(1) Si votre enfant à 3 ans entre le 1er janvier et le 31 août, le CMG taux plein (moins de 3 ans)</t>
        </is>
      </c>
      <c r="K8" s="17">
        <f>'Données du contrat'!O14</f>
        <v/>
      </c>
      <c r="L8" t="n">
        <v>2</v>
      </c>
      <c r="M8" s="158" t="n">
        <v>27295</v>
      </c>
      <c r="N8" s="158" t="n"/>
      <c r="O8" s="158" t="n">
        <v>60659</v>
      </c>
      <c r="P8" s="18" t="n"/>
    </row>
    <row r="9" ht="15.25" customHeight="1" s="367">
      <c r="A9" s="1" t="n"/>
      <c r="B9" s="421" t="n"/>
      <c r="C9" s="409" t="n"/>
      <c r="E9" s="409" t="n"/>
      <c r="F9" s="117" t="n"/>
      <c r="G9" s="117" t="n"/>
      <c r="H9" s="1" t="n"/>
      <c r="J9" t="inlineStr">
        <is>
          <t>est prolongé jusqu'au 31 août</t>
        </is>
      </c>
      <c r="K9" s="17" t="n"/>
      <c r="L9" t="n">
        <v>3</v>
      </c>
      <c r="M9" s="158" t="n">
        <v>30687</v>
      </c>
      <c r="N9" s="158" t="n"/>
      <c r="O9" s="158" t="n">
        <v>68199</v>
      </c>
      <c r="P9" s="18" t="n"/>
    </row>
    <row r="10" ht="15.25" customHeight="1" s="367">
      <c r="A10" s="1" t="n"/>
      <c r="B10" s="421" t="n"/>
      <c r="C10" s="409" t="inlineStr">
        <is>
          <t>Parent élevant seul son enfant</t>
        </is>
      </c>
      <c r="E10" s="409" t="n"/>
      <c r="F10" s="122" t="inlineStr">
        <is>
          <t>Non</t>
        </is>
      </c>
      <c r="G10" s="117" t="n"/>
      <c r="H10" s="1" t="n"/>
      <c r="K10" s="17" t="n"/>
      <c r="L10" t="n">
        <v>4</v>
      </c>
      <c r="M10" s="102">
        <f>M9*2-M8</f>
        <v/>
      </c>
      <c r="N10" s="102" t="n"/>
      <c r="O10" s="102">
        <f>O9*2-O8</f>
        <v/>
      </c>
      <c r="P10" s="18" t="n"/>
    </row>
    <row r="11" ht="15.25" customHeight="1" s="367">
      <c r="A11" s="1" t="n"/>
      <c r="B11" s="421" t="n"/>
      <c r="C11" s="120" t="n"/>
      <c r="D11" s="377" t="inlineStr">
        <is>
          <t>Nombre d'enfants au foyer</t>
        </is>
      </c>
      <c r="E11" s="117" t="n"/>
      <c r="F11" s="123" t="n">
        <v>1</v>
      </c>
      <c r="G11" s="117" t="n"/>
      <c r="H11" s="1" t="n"/>
      <c r="I11" s="103" t="n"/>
      <c r="K11" s="17" t="n"/>
      <c r="L11" t="n">
        <v>5</v>
      </c>
      <c r="M11" s="102">
        <f>M10*2-M9</f>
        <v/>
      </c>
      <c r="N11" s="102" t="n"/>
      <c r="O11" s="102">
        <f>O10*2-O9</f>
        <v/>
      </c>
      <c r="P11" s="18" t="n"/>
    </row>
    <row r="12" ht="15.25" customHeight="1" s="367">
      <c r="A12" s="1" t="n"/>
      <c r="B12" s="421" t="n"/>
      <c r="C12" s="120" t="n"/>
      <c r="D12" s="377" t="inlineStr">
        <is>
          <t>Revenus du foyer</t>
        </is>
      </c>
      <c r="E12" s="119" t="n"/>
      <c r="F12" s="365">
        <f>M16</f>
        <v/>
      </c>
      <c r="G12" s="117" t="n"/>
      <c r="H12" s="1" t="n"/>
      <c r="K12" s="17" t="n"/>
      <c r="L12" t="n">
        <v>6</v>
      </c>
      <c r="M12" s="102">
        <f>M11*2-M10</f>
        <v/>
      </c>
      <c r="N12" s="102" t="n"/>
      <c r="O12" s="102">
        <f>O11*2-O10</f>
        <v/>
      </c>
      <c r="P12" s="18" t="n"/>
    </row>
    <row r="13" ht="15.25" customHeight="1" s="367">
      <c r="A13" s="1" t="n"/>
      <c r="B13" s="120" t="n"/>
      <c r="C13" s="120" t="n"/>
      <c r="D13" s="117" t="n"/>
      <c r="E13" s="117" t="n"/>
      <c r="F13" s="117" t="n"/>
      <c r="G13" s="117" t="n"/>
      <c r="H13" s="1" t="n"/>
      <c r="K13" s="17" t="n"/>
      <c r="M13" s="104">
        <f>IF(F11=1,M7,IF(F11=2,M8,IF(F11=3,M9,IF(F11=4,M10,IF(F11=5,M11,M12)))))</f>
        <v/>
      </c>
      <c r="N13" s="104" t="n"/>
      <c r="O13" s="104">
        <f>IF(F11=1,O7,IF(F11=2,O8,IF(F11=3,O9,IF(F11=4,O10,IF(F11=5,O11,O12)))))</f>
        <v/>
      </c>
      <c r="P13" s="18" t="n"/>
    </row>
    <row r="14" ht="15.25" customHeight="1" s="367">
      <c r="A14" s="1" t="n"/>
      <c r="B14" s="117" t="n"/>
      <c r="C14" s="377" t="inlineStr">
        <is>
          <t>Solde de tout compte</t>
        </is>
      </c>
      <c r="E14" s="117" t="n"/>
      <c r="F14" s="244">
        <f>'Solde de tout compte'!H38</f>
        <v/>
      </c>
      <c r="G14" s="117" t="n"/>
      <c r="H14" s="1" t="n"/>
      <c r="K14" s="17" t="n"/>
      <c r="L14" s="28" t="n"/>
      <c r="M14">
        <f>CONCATENATE("R &lt; ",ROUND(M13*M5,0)," €")</f>
        <v/>
      </c>
      <c r="O14" t="inlineStr">
        <is>
          <t>moins de 3 ans</t>
        </is>
      </c>
      <c r="P14" s="18" t="n"/>
    </row>
    <row r="15" ht="15.25" customHeight="1" s="367">
      <c r="A15" s="1" t="n"/>
      <c r="B15" s="117" t="n"/>
      <c r="C15" s="118" t="n"/>
      <c r="D15" s="119" t="n"/>
      <c r="E15" s="119" t="n"/>
      <c r="F15" s="119" t="n"/>
      <c r="G15" s="117" t="n"/>
      <c r="H15" s="1" t="n"/>
      <c r="J15" s="33" t="n"/>
      <c r="K15" s="17" t="inlineStr">
        <is>
          <t>tranche CLCMG</t>
        </is>
      </c>
      <c r="L15" s="87">
        <f>IF(F12=M14,1,IF(F12=M15,2,3))</f>
        <v/>
      </c>
      <c r="M15">
        <f>CONCATENATE(ROUND(M13*M5,0)," €  &lt; R &lt; ",ROUND(O13*M5,0)," €")</f>
        <v/>
      </c>
      <c r="O15" t="inlineStr">
        <is>
          <t>entre 3 et 6 ans</t>
        </is>
      </c>
      <c r="P15" s="18" t="n"/>
    </row>
    <row r="16" ht="15.25" customHeight="1" s="367">
      <c r="A16" s="1" t="n"/>
      <c r="B16" s="368" t="n"/>
      <c r="C16" s="368" t="inlineStr">
        <is>
          <t>Montant de l'aide Libre Choix du Mode de Garde</t>
        </is>
      </c>
      <c r="D16" s="368" t="n"/>
      <c r="E16" s="368" t="n"/>
      <c r="F16" s="267">
        <f>MIN(0.85*('Solde de tout compte'!J29+'Solde de tout compte'!H34),L27)</f>
        <v/>
      </c>
      <c r="G16" s="368" t="n"/>
      <c r="H16" s="1" t="n"/>
      <c r="K16" s="17" t="n"/>
      <c r="L16" s="28" t="n"/>
      <c r="M16">
        <f>CONCATENATE("R &gt; ",ROUND(O13*M5,0)," €")</f>
        <v/>
      </c>
      <c r="P16" s="18" t="n"/>
    </row>
    <row r="17" ht="15.25" customHeight="1" s="367">
      <c r="A17" s="1" t="n"/>
      <c r="B17" s="368" t="n"/>
      <c r="C17" s="368" t="n"/>
      <c r="D17" s="368" t="n"/>
      <c r="E17" s="368" t="n"/>
      <c r="F17" s="241" t="n"/>
      <c r="G17" s="368" t="n"/>
      <c r="H17" s="1" t="n"/>
      <c r="J17" s="105" t="n"/>
      <c r="K17" s="23" t="inlineStr">
        <is>
          <t>Age de l' enfant</t>
        </is>
      </c>
      <c r="L17" s="106">
        <f>L20</f>
        <v/>
      </c>
      <c r="M17" s="73" t="inlineStr">
        <is>
          <t>1 = &lt;3ans ; 2 = entre 3 et 6 ans</t>
        </is>
      </c>
      <c r="N17" s="73" t="n"/>
      <c r="O17" s="73" t="n"/>
      <c r="P17" s="30" t="n"/>
    </row>
    <row r="18" ht="15.25" customHeight="1" s="367">
      <c r="A18" s="1" t="n"/>
      <c r="B18" s="60" t="n"/>
      <c r="C18" s="60" t="inlineStr">
        <is>
          <t>Coût final AVANT crédit d'impôts</t>
        </is>
      </c>
      <c r="D18" s="60" t="n"/>
      <c r="E18" s="60" t="n"/>
      <c r="F18" s="268">
        <f>F14-F16</f>
        <v/>
      </c>
      <c r="G18" s="368" t="n"/>
      <c r="H18" s="1" t="n"/>
      <c r="K18" s="19" t="n"/>
      <c r="L18" s="19" t="n"/>
      <c r="M18" s="19" t="n"/>
      <c r="N18" s="19" t="n"/>
      <c r="O18" s="19" t="n"/>
      <c r="P18" s="105" t="n"/>
    </row>
    <row r="19" ht="15.25" customHeight="1" s="367">
      <c r="A19" s="1" t="n"/>
      <c r="B19" s="60" t="n"/>
      <c r="C19" s="60" t="n"/>
      <c r="D19" s="368" t="n"/>
      <c r="E19" s="368" t="n"/>
      <c r="F19" s="368" t="n"/>
      <c r="G19" s="368" t="n"/>
      <c r="H19" s="1" t="n"/>
      <c r="K19" s="37" t="inlineStr">
        <is>
          <t xml:space="preserve">CMG moins de 3 ans </t>
        </is>
      </c>
      <c r="L19" s="15" t="n"/>
    </row>
    <row r="20" ht="15.25" customHeight="1" s="367">
      <c r="A20" s="1" t="n"/>
      <c r="B20" s="369">
        <f>CONCATENATE("Copyright @ zen-avec-mon-assmat.com         Conforme à la législation en vigueur au ",date_maj)</f>
        <v/>
      </c>
      <c r="H20" s="1" t="n"/>
      <c r="K20" s="23" t="inlineStr">
        <is>
          <t>CMG entre 3 et 6 ans</t>
        </is>
      </c>
      <c r="L20" s="30">
        <f>IF(F8=K19,1,2)</f>
        <v/>
      </c>
    </row>
    <row r="21" ht="15.25" customHeight="1" s="367">
      <c r="A21" s="1" t="n"/>
      <c r="B21" s="1" t="n"/>
      <c r="C21" s="1" t="n"/>
      <c r="D21" s="1" t="n"/>
      <c r="E21" s="1" t="n"/>
      <c r="F21" s="1" t="n"/>
      <c r="G21" s="1" t="n"/>
      <c r="H21" s="1" t="n"/>
    </row>
    <row r="22" ht="15.25" customHeight="1" s="367">
      <c r="L22" s="328" t="n"/>
    </row>
    <row r="23" ht="15.25" customHeight="1" s="367"/>
    <row r="24" ht="15.25" customHeight="1" s="367">
      <c r="K24" s="107" t="inlineStr">
        <is>
          <t>Paje</t>
        </is>
      </c>
      <c r="L24" s="108" t="inlineStr">
        <is>
          <t>tranche A</t>
        </is>
      </c>
      <c r="M24" s="108" t="inlineStr">
        <is>
          <t>tranche B</t>
        </is>
      </c>
      <c r="N24" s="109" t="inlineStr">
        <is>
          <t>tranche C</t>
        </is>
      </c>
    </row>
    <row r="25" ht="15.25" customHeight="1" s="367">
      <c r="K25" s="17">
        <f>"- 3 ans"</f>
        <v/>
      </c>
      <c r="L25" s="68" t="n">
        <v>538.27</v>
      </c>
      <c r="M25" s="68" t="n">
        <v>339.42</v>
      </c>
      <c r="N25" s="155" t="n">
        <v>203.62</v>
      </c>
    </row>
    <row r="26" ht="15.25" customHeight="1" s="367">
      <c r="K26" s="23">
        <f>"- 6 ans"</f>
        <v/>
      </c>
      <c r="L26" s="156" t="n">
        <v>269.14</v>
      </c>
      <c r="M26" s="156" t="n">
        <v>169.73</v>
      </c>
      <c r="N26" s="157" t="n">
        <v>101.81</v>
      </c>
    </row>
    <row r="27" ht="15.25" customHeight="1" s="367">
      <c r="L27">
        <f>IF(L17=1,IF(L15=1,L25,IF(L15=2,M25,N25)),IF(L15=1,L26,IF(L15=2,M26,N26)))*N5</f>
        <v/>
      </c>
    </row>
  </sheetData>
  <sheetProtection selectLockedCells="1" selectUnlockedCells="0" algorithmName="SHA-512" sheet="1" objects="1" insertRows="1" insertHyperlinks="1" autoFilter="1" scenarios="1" formatColumns="1" deleteColumns="1" insertColumns="1" pivotTables="1" deleteRows="1" formatCells="1" saltValue="rYqCYmhsxGZovmZWJekxAA==" formatRows="1" sort="1" spinCount="100000" password="DDB9" hashValue="Fuesy9KWXZjKj9Fu+8Okfp0gyw0z/7mimTdA8sNeRtTEiQx4ZMoU0Zd5eRs3/JganVBBEVLtC7iEJDqydVy3nw=="/>
  <mergeCells count="6">
    <mergeCell ref="B20:G20"/>
    <mergeCell ref="F3:G5"/>
    <mergeCell ref="C10:D10"/>
    <mergeCell ref="B8:D8"/>
    <mergeCell ref="C14:D14"/>
    <mergeCell ref="C9:D9"/>
  </mergeCells>
  <dataValidations count="4">
    <dataValidation sqref="F11" showDropDown="0" showInputMessage="1" showErrorMessage="1" allowBlank="1" type="list">
      <formula1>l_nb_enfant</formula1>
      <formula2>0</formula2>
    </dataValidation>
    <dataValidation sqref="F12" showDropDown="0" showInputMessage="1" showErrorMessage="1" allowBlank="1" type="list">
      <formula1>l_revenu</formula1>
      <formula2>0</formula2>
    </dataValidation>
    <dataValidation sqref="F10" showDropDown="0" showInputMessage="1" showErrorMessage="1" allowBlank="1" type="list">
      <formula1>l_seul</formula1>
      <formula2>0</formula2>
    </dataValidation>
    <dataValidation sqref="F8" showDropDown="0" showInputMessage="1" showErrorMessage="1" allowBlank="1" type="list">
      <formula1>l_age</formula1>
      <formula2>0</formula2>
    </dataValidation>
  </dataValidations>
  <pageMargins left="0.7" right="0.7" top="0.75" bottom="0.75" header="0.511805555555555" footer="0.511805555555555"/>
  <pageSetup orientation="portrait" paperSize="0" scale="0" firstPageNumber="0" usePrinterDefaults="0" horizontalDpi="0" verticalDpi="0" copies="0"/>
  <drawing xmlns:r="http://schemas.openxmlformats.org/officeDocument/2006/relationships" r:id="rId1"/>
</worksheet>
</file>

<file path=xl/worksheets/sheet9.xml><?xml version="1.0" encoding="utf-8"?>
<worksheet xmlns="http://schemas.openxmlformats.org/spreadsheetml/2006/main">
  <sheetPr>
    <outlinePr summaryBelow="1" summaryRight="1"/>
    <pageSetUpPr/>
  </sheetPr>
  <dimension ref="A1:K19"/>
  <sheetViews>
    <sheetView showGridLines="0" showRowColHeaders="0" zoomScaleNormal="100" workbookViewId="0">
      <selection activeCell="G10" sqref="G10"/>
    </sheetView>
  </sheetViews>
  <sheetFormatPr baseColWidth="10" defaultColWidth="9.1640625" defaultRowHeight="15"/>
  <cols>
    <col width="2.6640625" customWidth="1" style="367" min="1" max="1"/>
    <col width="4.6640625" customWidth="1" style="367" min="2" max="2"/>
    <col width="28.5" customWidth="1" style="367" min="5" max="5"/>
    <col width="12.83203125" customWidth="1" style="367" min="7" max="7"/>
    <col width="10.6640625" customWidth="1" style="367" min="8" max="8"/>
    <col width="2.6640625" customWidth="1" style="367" min="9" max="9"/>
    <col width="3.5" customWidth="1" style="367" min="10" max="10"/>
    <col width="37.1640625" bestFit="1" customWidth="1" style="367" min="11" max="11"/>
    <col width="9.1640625" customWidth="1" style="367" min="12" max="13"/>
  </cols>
  <sheetData>
    <row r="1" ht="15.25" customHeight="1" s="367">
      <c r="A1" s="1" t="n"/>
      <c r="B1" s="1" t="n"/>
      <c r="C1" s="1" t="n"/>
      <c r="D1" s="1" t="n"/>
      <c r="E1" s="1" t="n"/>
      <c r="F1" s="1" t="n"/>
      <c r="G1" s="1" t="n"/>
      <c r="H1" s="1" t="n"/>
      <c r="I1" s="1" t="n"/>
    </row>
    <row r="2" ht="15.25" customHeight="1" s="367">
      <c r="A2" s="1" t="n"/>
      <c r="F2" s="94" t="n"/>
      <c r="G2" s="94" t="n"/>
      <c r="H2" s="94" t="n"/>
      <c r="I2" s="1" t="n"/>
    </row>
    <row r="3" ht="15.25" customHeight="1" s="367">
      <c r="A3" s="1" t="n"/>
      <c r="E3" s="474" t="inlineStr">
        <is>
          <t>Calcul du salaire brut
à partir du salaire net</t>
        </is>
      </c>
      <c r="I3" s="1" t="n"/>
    </row>
    <row r="4" ht="15.25" customHeight="1" s="367">
      <c r="A4" s="1" t="n"/>
      <c r="I4" s="1" t="n"/>
    </row>
    <row r="5" ht="15.25" customHeight="1" s="367">
      <c r="A5" s="1" t="n"/>
      <c r="I5" s="1" t="n"/>
    </row>
    <row r="6" ht="15.25" customHeight="1" s="367">
      <c r="A6" s="1" t="n"/>
      <c r="F6" s="76" t="n"/>
      <c r="G6" s="76" t="n"/>
      <c r="H6" s="76" t="n"/>
      <c r="I6" s="1" t="n"/>
    </row>
    <row r="7" ht="15.25" customHeight="1" s="367">
      <c r="A7" s="1" t="n"/>
      <c r="B7" s="120" t="n"/>
      <c r="C7" s="378" t="n"/>
      <c r="H7" s="117" t="n"/>
      <c r="I7" s="1" t="n"/>
    </row>
    <row r="8" ht="15.25" customHeight="1" s="367">
      <c r="A8" s="1" t="n"/>
      <c r="B8" s="120" t="n"/>
      <c r="C8" s="118" t="inlineStr">
        <is>
          <t>Région du domicile de l'assistante maternelle (1)</t>
        </is>
      </c>
      <c r="D8" s="378" t="n"/>
      <c r="E8" s="378" t="n"/>
      <c r="F8" s="119" t="n"/>
      <c r="G8" s="121">
        <f>'Données du contrat'!F18</f>
        <v/>
      </c>
      <c r="H8" s="117" t="n"/>
      <c r="I8" s="1" t="n"/>
      <c r="K8" t="inlineStr">
        <is>
          <t>(1) repris de l'onglet données du contrat</t>
        </is>
      </c>
    </row>
    <row r="9" ht="15.25" customHeight="1" s="367">
      <c r="A9" s="1" t="n"/>
      <c r="B9" s="117" t="n"/>
      <c r="C9" s="117" t="n"/>
      <c r="D9" s="117" t="n"/>
      <c r="E9" s="117" t="n"/>
      <c r="F9" s="117" t="n"/>
      <c r="G9" s="119" t="n"/>
      <c r="H9" s="117" t="n"/>
      <c r="I9" s="1" t="n"/>
    </row>
    <row r="10" ht="15.25" customHeight="1" s="367">
      <c r="A10" s="1" t="n"/>
      <c r="B10" s="117" t="n"/>
      <c r="C10" s="117" t="inlineStr">
        <is>
          <t>Salaire NET</t>
        </is>
      </c>
      <c r="D10" s="117" t="n"/>
      <c r="E10" s="117" t="n"/>
      <c r="F10" s="117" t="n"/>
      <c r="G10" s="269" t="n">
        <v>2.84</v>
      </c>
      <c r="H10" s="117" t="n"/>
      <c r="I10" s="1" t="n"/>
    </row>
    <row r="11" ht="15.25" customHeight="1" s="367">
      <c r="A11" s="1" t="n"/>
      <c r="B11" s="117" t="n"/>
      <c r="C11" s="117" t="n"/>
      <c r="D11" s="117" t="n"/>
      <c r="E11" s="117" t="n"/>
      <c r="F11" s="117" t="n"/>
      <c r="G11" s="119" t="n"/>
      <c r="H11" s="117" t="n"/>
      <c r="I11" s="1" t="n"/>
      <c r="J11" s="103" t="n"/>
    </row>
    <row r="12" ht="15.25" customHeight="1" s="367">
      <c r="A12" s="1" t="n"/>
      <c r="B12" s="368" t="n"/>
      <c r="C12" s="368" t="n"/>
      <c r="D12" s="368" t="n"/>
      <c r="E12" s="368" t="n"/>
      <c r="F12" s="368" t="n"/>
      <c r="G12" s="53" t="n"/>
      <c r="H12" s="368" t="n"/>
      <c r="I12" s="1" t="n"/>
    </row>
    <row r="13" ht="15.25" customHeight="1" s="367">
      <c r="A13" s="1" t="n"/>
      <c r="B13" s="60" t="n"/>
      <c r="C13" s="60" t="inlineStr">
        <is>
          <t>Salaire BRUT</t>
        </is>
      </c>
      <c r="D13" s="60" t="n"/>
      <c r="E13" s="60" t="n"/>
      <c r="F13" s="60" t="n"/>
      <c r="G13" s="268">
        <f>G10/(1-taux_cotis)</f>
        <v/>
      </c>
      <c r="H13" s="368" t="n"/>
      <c r="I13" s="1" t="n"/>
    </row>
    <row r="14" ht="15.25" customHeight="1" s="367">
      <c r="A14" s="1" t="n"/>
      <c r="B14" s="60" t="n"/>
      <c r="C14" s="60" t="n"/>
      <c r="D14" s="368" t="n"/>
      <c r="E14" s="368" t="n"/>
      <c r="F14" s="368" t="n"/>
      <c r="G14" s="88" t="n"/>
      <c r="H14" s="368" t="n"/>
      <c r="I14" s="1" t="n"/>
    </row>
    <row r="15" ht="15.25" customHeight="1" s="367">
      <c r="A15" s="1" t="n"/>
      <c r="B15" s="369">
        <f>CONCATENATE("Copyright @ zen-avec-mon-assmat.com         Conforme à la législation en vigueur au ",date_maj)</f>
        <v/>
      </c>
      <c r="I15" s="1" t="n"/>
    </row>
    <row r="16" ht="15.25" customHeight="1" s="367">
      <c r="A16" s="1" t="n"/>
      <c r="B16" s="1" t="n"/>
      <c r="C16" s="1" t="n"/>
      <c r="D16" s="1" t="n"/>
      <c r="E16" s="1" t="n"/>
      <c r="F16" s="1" t="n"/>
      <c r="G16" s="1" t="n"/>
      <c r="H16" s="1" t="n"/>
      <c r="I16" s="1" t="n"/>
      <c r="K16" s="86" t="n"/>
    </row>
    <row r="17" ht="15.25" customHeight="1" s="367">
      <c r="K17" s="33" t="n"/>
    </row>
    <row r="18" ht="15.25" customHeight="1" s="367"/>
    <row r="19" ht="15.25" customHeight="1" s="367">
      <c r="K19" s="105" t="n"/>
    </row>
    <row r="20" ht="15.25" customHeight="1" s="367"/>
    <row r="21" ht="15.25" customHeight="1" s="367"/>
    <row r="22" ht="15.25" customHeight="1" s="367"/>
    <row r="23" ht="15.25" customHeight="1" s="367"/>
    <row r="24" ht="15.25" customHeight="1" s="367"/>
    <row r="26" ht="15.25" customHeight="1" s="367"/>
    <row r="27" ht="16" customHeight="1" s="367"/>
  </sheetData>
  <sheetProtection selectLockedCells="1" selectUnlockedCells="0" algorithmName="SHA-512" sheet="1" objects="1" insertRows="1" insertHyperlinks="1" autoFilter="1" scenarios="1" formatColumns="1" deleteColumns="1" insertColumns="1" pivotTables="1" deleteRows="1" formatCells="1" saltValue="XOd95QB/FFFkIYrINX5MDA==" formatRows="1" sort="1" spinCount="100000" password="DDB9" hashValue="1yj0wcg0x4VWV2UzhIGB06z/SY3Klp+o/xzsnnuUdngfw1SJHQHCpgC/hJ157sfcw0th5Kow2COiUbwbvhfccg=="/>
  <mergeCells count="3">
    <mergeCell ref="C7:G7"/>
    <mergeCell ref="B15:H15"/>
    <mergeCell ref="E3:H5"/>
  </mergeCells>
  <pageMargins left="0.7" right="0.7" top="0.75" bottom="0.75" header="0.511805555555555" footer="0.511805555555555"/>
  <pageSetup orientation="portrait" paperSize="0" scale="0" firstPageNumber="0" usePrinterDefaults="0" horizontalDpi="0" verticalDpi="0" copies="0"/>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Parent employeur Zen</dc:creator>
  <dc:language xmlns:dc="http://purl.org/dc/elements/1.1/">fr-FR</dc:language>
  <dcterms:created xmlns:dcterms="http://purl.org/dc/terms/" xmlns:xsi="http://www.w3.org/2001/XMLSchema-instance" xsi:type="dcterms:W3CDTF">2011-04-18T21:11:39Z</dcterms:created>
  <dcterms:modified xmlns:dcterms="http://purl.org/dc/terms/" xmlns:xsi="http://www.w3.org/2001/XMLSchema-instance" xsi:type="dcterms:W3CDTF">2026-01-05T08:51:24Z</dcterms:modified>
  <cp:lastModifiedBy>Microsoft Office User</cp:lastModifiedBy>
  <cp:revision>1</cp:revision>
  <cp:lastPrinted>2016-09-13T12:49:28Z</cp:lastPrinted>
</cp:coreProperties>
</file>